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6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7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8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9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E:\鹿島意匠\python\"/>
    </mc:Choice>
  </mc:AlternateContent>
  <xr:revisionPtr revIDLastSave="0" documentId="8_{6FBEFBB8-1ECB-43F2-8CE6-D79F7122BBD3}" xr6:coauthVersionLast="47" xr6:coauthVersionMax="47" xr10:uidLastSave="{00000000-0000-0000-0000-000000000000}"/>
  <bookViews>
    <workbookView xWindow="-120" yWindow="-120" windowWidth="29040" windowHeight="15840" activeTab="3" xr2:uid="{204C024A-774E-4C5C-B9C8-5964B0CCA4F7}"/>
  </bookViews>
  <sheets>
    <sheet name="基礎梁成と変形関係" sheetId="4" r:id="rId1"/>
    <sheet name="応力まとめ" sheetId="3" r:id="rId2"/>
    <sheet name="D値 (柱最低剛性算出)" sheetId="7" r:id="rId3"/>
    <sheet name="D値" sheetId="2" r:id="rId4"/>
    <sheet name="固定モーメント法" sheetId="1" r:id="rId5"/>
    <sheet name="D値 (変形確認用)" sheetId="5" r:id="rId6"/>
  </sheets>
  <definedNames>
    <definedName name="_xlnm.Print_Area" localSheetId="3">D値!$A$1:$AU$82</definedName>
    <definedName name="_xlnm.Print_Area" localSheetId="2">'D値 (柱最低剛性算出)'!$A$1:$AU$82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12" i="2" l="1"/>
  <c r="E25" i="1"/>
  <c r="AM21" i="3"/>
  <c r="AM22" i="3"/>
  <c r="AM23" i="3"/>
  <c r="AM24" i="3"/>
  <c r="AM25" i="3"/>
  <c r="AM26" i="3"/>
  <c r="AM27" i="3"/>
  <c r="AM28" i="3"/>
  <c r="AM29" i="3"/>
  <c r="AL22" i="3"/>
  <c r="AL23" i="3"/>
  <c r="AL24" i="3"/>
  <c r="AL25" i="3"/>
  <c r="AL26" i="3"/>
  <c r="AL27" i="3"/>
  <c r="AL28" i="3"/>
  <c r="AL29" i="3"/>
  <c r="AL21" i="3"/>
  <c r="AK22" i="3"/>
  <c r="AK23" i="3"/>
  <c r="AK24" i="3"/>
  <c r="AK25" i="3"/>
  <c r="AK26" i="3"/>
  <c r="AK27" i="3"/>
  <c r="AK28" i="3"/>
  <c r="AK29" i="3"/>
  <c r="AK21" i="3"/>
  <c r="AV12" i="3"/>
  <c r="AV13" i="3"/>
  <c r="AR13" i="3"/>
  <c r="AS13" i="3"/>
  <c r="AK5" i="3"/>
  <c r="AR11" i="3"/>
  <c r="AP11" i="3"/>
  <c r="AQ13" i="3"/>
  <c r="AP13" i="3"/>
  <c r="AK13" i="7"/>
  <c r="AJ13" i="7"/>
  <c r="AJ4" i="7"/>
  <c r="AJ11" i="7"/>
  <c r="AK11" i="7" s="1"/>
  <c r="AG6" i="7"/>
  <c r="AG13" i="7"/>
  <c r="AH13" i="7"/>
  <c r="AJ16" i="3"/>
  <c r="AJ15" i="3"/>
  <c r="AJ14" i="3"/>
  <c r="AJ13" i="3"/>
  <c r="AJ12" i="3"/>
  <c r="AJ11" i="3"/>
  <c r="AJ10" i="3"/>
  <c r="AJ9" i="3"/>
  <c r="AJ8" i="3"/>
  <c r="AJ7" i="3"/>
  <c r="AJ6" i="3"/>
  <c r="AJ5" i="3"/>
  <c r="D20" i="7"/>
  <c r="AE61" i="7"/>
  <c r="W61" i="7"/>
  <c r="O61" i="7"/>
  <c r="G61" i="7"/>
  <c r="AJ60" i="7"/>
  <c r="AB60" i="7"/>
  <c r="T60" i="7"/>
  <c r="L60" i="7"/>
  <c r="D60" i="7"/>
  <c r="AI56" i="7"/>
  <c r="AI57" i="7" s="1"/>
  <c r="AI58" i="7" s="1"/>
  <c r="AK54" i="7"/>
  <c r="AC54" i="7"/>
  <c r="U54" i="7"/>
  <c r="M54" i="7"/>
  <c r="E54" i="7"/>
  <c r="AA56" i="7"/>
  <c r="AA57" i="7" s="1"/>
  <c r="AA58" i="7" s="1"/>
  <c r="S56" i="7"/>
  <c r="S57" i="7" s="1"/>
  <c r="S58" i="7" s="1"/>
  <c r="AJ51" i="7"/>
  <c r="AB51" i="7"/>
  <c r="T51" i="7"/>
  <c r="L51" i="7"/>
  <c r="D51" i="7"/>
  <c r="AK45" i="7"/>
  <c r="AC45" i="7"/>
  <c r="U45" i="7"/>
  <c r="M45" i="7"/>
  <c r="E45" i="7"/>
  <c r="AI47" i="7"/>
  <c r="AI48" i="7" s="1"/>
  <c r="AI49" i="7" s="1"/>
  <c r="K47" i="7"/>
  <c r="K48" i="7" s="1"/>
  <c r="K49" i="7" s="1"/>
  <c r="AJ42" i="7"/>
  <c r="AB42" i="7"/>
  <c r="T42" i="7"/>
  <c r="L42" i="7"/>
  <c r="D42" i="7"/>
  <c r="AK36" i="7"/>
  <c r="AC36" i="7"/>
  <c r="U36" i="7"/>
  <c r="M36" i="7"/>
  <c r="E36" i="7"/>
  <c r="AA38" i="7"/>
  <c r="AA39" i="7" s="1"/>
  <c r="AA40" i="7" s="1"/>
  <c r="K38" i="7"/>
  <c r="K39" i="7" s="1"/>
  <c r="K40" i="7" s="1"/>
  <c r="U30" i="7"/>
  <c r="G30" i="7"/>
  <c r="Z29" i="7"/>
  <c r="R29" i="7"/>
  <c r="L29" i="7"/>
  <c r="D29" i="7"/>
  <c r="Y25" i="7"/>
  <c r="Y26" i="7" s="1"/>
  <c r="Y27" i="7" s="1"/>
  <c r="AA23" i="7"/>
  <c r="S23" i="7"/>
  <c r="M23" i="7"/>
  <c r="E23" i="7"/>
  <c r="Q25" i="7"/>
  <c r="Q26" i="7" s="1"/>
  <c r="Q27" i="7" s="1"/>
  <c r="C25" i="7"/>
  <c r="C26" i="7" s="1"/>
  <c r="C27" i="7" s="1"/>
  <c r="Z20" i="7"/>
  <c r="R20" i="7"/>
  <c r="L20" i="7"/>
  <c r="Y16" i="7"/>
  <c r="Y17" i="7" s="1"/>
  <c r="Y18" i="7" s="1"/>
  <c r="Q16" i="7"/>
  <c r="Q17" i="7" s="1"/>
  <c r="Q18" i="7" s="1"/>
  <c r="AA14" i="7"/>
  <c r="S14" i="7"/>
  <c r="M14" i="7"/>
  <c r="E14" i="7"/>
  <c r="AI13" i="7"/>
  <c r="AF13" i="7"/>
  <c r="AE13" i="7"/>
  <c r="AI12" i="7"/>
  <c r="AF12" i="7"/>
  <c r="AE12" i="7"/>
  <c r="K16" i="7"/>
  <c r="K17" i="7" s="1"/>
  <c r="K18" i="7" s="1"/>
  <c r="AF11" i="7"/>
  <c r="AE11" i="7"/>
  <c r="AI11" i="7" s="1"/>
  <c r="Z11" i="7"/>
  <c r="R11" i="7"/>
  <c r="L11" i="7"/>
  <c r="K7" i="7" s="1"/>
  <c r="K8" i="7" s="1"/>
  <c r="K9" i="7" s="1"/>
  <c r="D11" i="7"/>
  <c r="Y7" i="7"/>
  <c r="Y8" i="7" s="1"/>
  <c r="Y9" i="7" s="1"/>
  <c r="Q7" i="7"/>
  <c r="Q8" i="7" s="1"/>
  <c r="Q9" i="7" s="1"/>
  <c r="C7" i="7"/>
  <c r="C8" i="7" s="1"/>
  <c r="C9" i="7" s="1"/>
  <c r="AI6" i="7"/>
  <c r="AI5" i="7"/>
  <c r="AA5" i="7"/>
  <c r="S5" i="7"/>
  <c r="M5" i="7"/>
  <c r="E5" i="7"/>
  <c r="AI4" i="7"/>
  <c r="AK4" i="7" l="1"/>
  <c r="AL4" i="7" s="1"/>
  <c r="Y6" i="7"/>
  <c r="Q6" i="7"/>
  <c r="K6" i="7"/>
  <c r="C6" i="7"/>
  <c r="AG4" i="7"/>
  <c r="AH4" i="7" s="1"/>
  <c r="C16" i="7"/>
  <c r="C17" i="7" s="1"/>
  <c r="C18" i="7" s="1"/>
  <c r="C38" i="7"/>
  <c r="C39" i="7" s="1"/>
  <c r="C40" i="7" s="1"/>
  <c r="C47" i="7"/>
  <c r="C48" i="7" s="1"/>
  <c r="C49" i="7" s="1"/>
  <c r="S38" i="7"/>
  <c r="S39" i="7" s="1"/>
  <c r="S40" i="7" s="1"/>
  <c r="C56" i="7"/>
  <c r="C57" i="7" s="1"/>
  <c r="C58" i="7" s="1"/>
  <c r="S47" i="7"/>
  <c r="S48" i="7" s="1"/>
  <c r="S49" i="7" s="1"/>
  <c r="K56" i="7"/>
  <c r="K57" i="7" s="1"/>
  <c r="K58" i="7" s="1"/>
  <c r="AL13" i="7" s="1"/>
  <c r="K25" i="7"/>
  <c r="K26" i="7" s="1"/>
  <c r="K27" i="7" s="1"/>
  <c r="Y24" i="7" s="1"/>
  <c r="AI38" i="7"/>
  <c r="AI39" i="7" s="1"/>
  <c r="AI40" i="7" s="1"/>
  <c r="AA47" i="7"/>
  <c r="AA48" i="7" s="1"/>
  <c r="AA49" i="7" s="1"/>
  <c r="AJ12" i="7" l="1"/>
  <c r="AK12" i="7" s="1"/>
  <c r="AL12" i="7" s="1"/>
  <c r="AL11" i="7"/>
  <c r="Y23" i="7"/>
  <c r="Y28" i="7"/>
  <c r="Y5" i="7"/>
  <c r="V3" i="7" s="1"/>
  <c r="Y10" i="7"/>
  <c r="K15" i="7"/>
  <c r="C15" i="7"/>
  <c r="AG5" i="7"/>
  <c r="AH5" i="7" s="1"/>
  <c r="Y15" i="7"/>
  <c r="Q15" i="7"/>
  <c r="AJ5" i="7"/>
  <c r="AK5" i="7" s="1"/>
  <c r="AL5" i="7" s="1"/>
  <c r="AH6" i="7"/>
  <c r="C5" i="7"/>
  <c r="F4" i="7" s="1"/>
  <c r="C10" i="7"/>
  <c r="K5" i="7"/>
  <c r="H3" i="7" s="1"/>
  <c r="K10" i="7"/>
  <c r="Q5" i="7"/>
  <c r="T4" i="7" s="1"/>
  <c r="Q10" i="7"/>
  <c r="AJ6" i="7"/>
  <c r="AK6" i="7" s="1"/>
  <c r="AL6" i="7" s="1"/>
  <c r="K55" i="7"/>
  <c r="C55" i="7"/>
  <c r="AI55" i="7"/>
  <c r="S55" i="7"/>
  <c r="AA55" i="7"/>
  <c r="C24" i="7"/>
  <c r="K24" i="7"/>
  <c r="K46" i="7"/>
  <c r="C46" i="7"/>
  <c r="AG12" i="7"/>
  <c r="AH12" i="7" s="1"/>
  <c r="AI46" i="7"/>
  <c r="S46" i="7"/>
  <c r="AA46" i="7"/>
  <c r="Q24" i="7"/>
  <c r="S37" i="7"/>
  <c r="K37" i="7"/>
  <c r="C37" i="7"/>
  <c r="AG11" i="7"/>
  <c r="AH11" i="7" s="1"/>
  <c r="AI37" i="7"/>
  <c r="AA37" i="7"/>
  <c r="U6" i="7" l="1"/>
  <c r="AA10" i="7" s="1"/>
  <c r="K54" i="7"/>
  <c r="K59" i="7"/>
  <c r="AA36" i="7"/>
  <c r="AA41" i="7"/>
  <c r="AI36" i="7"/>
  <c r="AF34" i="7" s="1"/>
  <c r="AI41" i="7"/>
  <c r="C54" i="7"/>
  <c r="C59" i="7"/>
  <c r="K36" i="7"/>
  <c r="K41" i="7"/>
  <c r="G6" i="7"/>
  <c r="AA45" i="7"/>
  <c r="AA50" i="7"/>
  <c r="K19" i="7"/>
  <c r="K14" i="7"/>
  <c r="H12" i="7" s="1"/>
  <c r="C41" i="7"/>
  <c r="C36" i="7"/>
  <c r="F35" i="7" s="1"/>
  <c r="S36" i="7"/>
  <c r="S41" i="7"/>
  <c r="Q23" i="7"/>
  <c r="Q28" i="7"/>
  <c r="S45" i="7"/>
  <c r="S50" i="7"/>
  <c r="AI45" i="7"/>
  <c r="AI50" i="7"/>
  <c r="Y14" i="7"/>
  <c r="V12" i="7" s="1"/>
  <c r="Y19" i="7"/>
  <c r="V21" i="7" s="1"/>
  <c r="C45" i="7"/>
  <c r="C50" i="7"/>
  <c r="C19" i="7"/>
  <c r="C14" i="7"/>
  <c r="F13" i="7" s="1"/>
  <c r="C28" i="7"/>
  <c r="C23" i="7"/>
  <c r="AA54" i="7"/>
  <c r="AA59" i="7"/>
  <c r="Q19" i="7"/>
  <c r="Q14" i="7"/>
  <c r="T13" i="7" s="1"/>
  <c r="U15" i="7" s="1"/>
  <c r="K45" i="7"/>
  <c r="K50" i="7"/>
  <c r="K23" i="7"/>
  <c r="K28" i="7"/>
  <c r="S54" i="7"/>
  <c r="S59" i="7"/>
  <c r="AI54" i="7"/>
  <c r="AI59" i="7"/>
  <c r="AF43" i="7" l="1"/>
  <c r="S10" i="7"/>
  <c r="F22" i="7"/>
  <c r="P34" i="7"/>
  <c r="V35" i="7"/>
  <c r="AA19" i="7"/>
  <c r="S19" i="7"/>
  <c r="H43" i="7"/>
  <c r="N44" i="7"/>
  <c r="G15" i="7"/>
  <c r="H34" i="7"/>
  <c r="G37" i="7" s="1"/>
  <c r="E41" i="7" s="1"/>
  <c r="N35" i="7"/>
  <c r="AD53" i="7"/>
  <c r="X52" i="7"/>
  <c r="M10" i="7"/>
  <c r="E10" i="7"/>
  <c r="AF52" i="7"/>
  <c r="H21" i="7"/>
  <c r="X43" i="7"/>
  <c r="AD44" i="7"/>
  <c r="F44" i="7"/>
  <c r="F53" i="7"/>
  <c r="P52" i="7"/>
  <c r="V53" i="7"/>
  <c r="P43" i="7"/>
  <c r="V44" i="7"/>
  <c r="X34" i="7"/>
  <c r="AD35" i="7"/>
  <c r="AE37" i="7" s="1"/>
  <c r="T22" i="7"/>
  <c r="U24" i="7" s="1"/>
  <c r="N53" i="7"/>
  <c r="H52" i="7"/>
  <c r="O46" i="7" l="1"/>
  <c r="O37" i="7"/>
  <c r="M41" i="7" s="1"/>
  <c r="O55" i="7"/>
  <c r="AE46" i="7"/>
  <c r="G46" i="7"/>
  <c r="E50" i="7" s="1"/>
  <c r="G24" i="7"/>
  <c r="M19" i="7"/>
  <c r="E19" i="7"/>
  <c r="W46" i="7"/>
  <c r="AE55" i="7"/>
  <c r="AA28" i="7"/>
  <c r="S28" i="7"/>
  <c r="W55" i="7"/>
  <c r="W37" i="7"/>
  <c r="AK41" i="7"/>
  <c r="G55" i="7"/>
  <c r="U41" i="7" l="1"/>
  <c r="U50" i="7" s="1"/>
  <c r="U59" i="7" s="1"/>
  <c r="E59" i="7"/>
  <c r="M50" i="7"/>
  <c r="M59" i="7" s="1"/>
  <c r="AK50" i="7"/>
  <c r="AK59" i="7" s="1"/>
  <c r="E28" i="7"/>
  <c r="M28" i="7"/>
  <c r="AC41" i="7"/>
  <c r="AC50" i="7" s="1"/>
  <c r="AC59" i="7" s="1"/>
  <c r="D29" i="2" l="1"/>
  <c r="L29" i="2"/>
  <c r="R29" i="2"/>
  <c r="Z29" i="2"/>
  <c r="AI5" i="2"/>
  <c r="E59" i="2" l="1"/>
  <c r="AK13" i="2"/>
  <c r="AK12" i="2"/>
  <c r="AK11" i="2"/>
  <c r="AJ13" i="2"/>
  <c r="AJ12" i="2"/>
  <c r="AJ11" i="2"/>
  <c r="AL11" i="2"/>
  <c r="AI11" i="2"/>
  <c r="AI13" i="2"/>
  <c r="AL13" i="2" s="1"/>
  <c r="AI12" i="2"/>
  <c r="AL12" i="2" s="1"/>
  <c r="AF13" i="2"/>
  <c r="AE13" i="2"/>
  <c r="AG13" i="2" s="1"/>
  <c r="AF12" i="2"/>
  <c r="AG12" i="2" s="1"/>
  <c r="AE12" i="2"/>
  <c r="AF11" i="2"/>
  <c r="AE11" i="2"/>
  <c r="AG11" i="2"/>
  <c r="AL5" i="3" l="1"/>
  <c r="L11" i="2"/>
  <c r="AI6" i="2"/>
  <c r="AI4" i="2"/>
  <c r="AI56" i="2"/>
  <c r="AI57" i="2" s="1"/>
  <c r="AI58" i="2" s="1"/>
  <c r="AA56" i="2"/>
  <c r="AA57" i="2" s="1"/>
  <c r="AA58" i="2" s="1"/>
  <c r="S57" i="2"/>
  <c r="S58" i="2" s="1"/>
  <c r="S56" i="2"/>
  <c r="K57" i="2"/>
  <c r="K58" i="2" s="1"/>
  <c r="K56" i="2"/>
  <c r="C56" i="2"/>
  <c r="C57" i="2" s="1"/>
  <c r="C58" i="2" s="1"/>
  <c r="C56" i="5"/>
  <c r="U30" i="2"/>
  <c r="G30" i="2"/>
  <c r="AE61" i="2"/>
  <c r="W61" i="2"/>
  <c r="O61" i="2"/>
  <c r="G61" i="2"/>
  <c r="G61" i="5"/>
  <c r="G60" i="5"/>
  <c r="O60" i="5"/>
  <c r="AE60" i="5"/>
  <c r="G30" i="5"/>
  <c r="U30" i="5"/>
  <c r="AE61" i="5"/>
  <c r="W61" i="5"/>
  <c r="O61" i="5"/>
  <c r="E6" i="4"/>
  <c r="Z29" i="5"/>
  <c r="R29" i="5"/>
  <c r="L29" i="5"/>
  <c r="D29" i="5"/>
  <c r="AJ60" i="5"/>
  <c r="AB60" i="5"/>
  <c r="T60" i="5"/>
  <c r="L60" i="5"/>
  <c r="D60" i="5"/>
  <c r="H60" i="5" l="1"/>
  <c r="AK6" i="3"/>
  <c r="AL6" i="3" s="1"/>
  <c r="AK7" i="3"/>
  <c r="AK8" i="3"/>
  <c r="AL8" i="3" s="1"/>
  <c r="AK9" i="3"/>
  <c r="AK10" i="3"/>
  <c r="AL10" i="3" s="1"/>
  <c r="AK11" i="3"/>
  <c r="AK12" i="3"/>
  <c r="AL12" i="3" s="1"/>
  <c r="AK13" i="3"/>
  <c r="AK14" i="3"/>
  <c r="AL14" i="3" s="1"/>
  <c r="AK15" i="3"/>
  <c r="AL15" i="3" s="1"/>
  <c r="AK16" i="3"/>
  <c r="AL13" i="3" l="1"/>
  <c r="AL9" i="3"/>
  <c r="AR12" i="3"/>
  <c r="AL16" i="3"/>
  <c r="AL11" i="3"/>
  <c r="AS12" i="3"/>
  <c r="AL7" i="3"/>
  <c r="AS11" i="3"/>
  <c r="I10" i="4"/>
  <c r="H10" i="4"/>
  <c r="G10" i="4"/>
  <c r="AA5" i="4"/>
  <c r="AB5" i="4" s="1"/>
  <c r="AC5" i="4" s="1"/>
  <c r="AD5" i="4" s="1"/>
  <c r="AE5" i="4" s="1"/>
  <c r="AF5" i="4" s="1"/>
  <c r="AG5" i="4" s="1"/>
  <c r="AH5" i="4" s="1"/>
  <c r="AI5" i="4" s="1"/>
  <c r="AJ5" i="4" s="1"/>
  <c r="AA9" i="4"/>
  <c r="AB9" i="4" s="1"/>
  <c r="AC9" i="4" s="1"/>
  <c r="AD9" i="4" s="1"/>
  <c r="AE9" i="4" s="1"/>
  <c r="AF9" i="4" s="1"/>
  <c r="AG9" i="4" s="1"/>
  <c r="AH9" i="4" s="1"/>
  <c r="AI9" i="4" s="1"/>
  <c r="AJ9" i="4" s="1"/>
  <c r="N9" i="4" l="1"/>
  <c r="O9" i="4" s="1"/>
  <c r="P9" i="4" s="1"/>
  <c r="Q9" i="4" s="1"/>
  <c r="R9" i="4" s="1"/>
  <c r="S9" i="4" s="1"/>
  <c r="T9" i="4" s="1"/>
  <c r="U9" i="4" s="1"/>
  <c r="V9" i="4" s="1"/>
  <c r="W9" i="4" s="1"/>
  <c r="N5" i="4" l="1"/>
  <c r="O5" i="4" s="1"/>
  <c r="P5" i="4" s="1"/>
  <c r="Q5" i="4" s="1"/>
  <c r="R5" i="4" s="1"/>
  <c r="S5" i="4" s="1"/>
  <c r="T5" i="4" s="1"/>
  <c r="U5" i="4" s="1"/>
  <c r="V5" i="4" s="1"/>
  <c r="W5" i="4" s="1"/>
  <c r="E10" i="4"/>
  <c r="C15" i="4"/>
  <c r="E15" i="4" s="1"/>
  <c r="G15" i="4" s="1"/>
  <c r="E5" i="4"/>
  <c r="AK54" i="5"/>
  <c r="AC54" i="5"/>
  <c r="U54" i="5"/>
  <c r="M54" i="5"/>
  <c r="E54" i="5"/>
  <c r="AE52" i="5"/>
  <c r="W52" i="5"/>
  <c r="O52" i="5"/>
  <c r="G52" i="5"/>
  <c r="AJ51" i="5"/>
  <c r="AB51" i="5"/>
  <c r="T51" i="5"/>
  <c r="L51" i="5"/>
  <c r="D51" i="5"/>
  <c r="AI47" i="5"/>
  <c r="AI48" i="5" s="1"/>
  <c r="AI49" i="5" s="1"/>
  <c r="AK45" i="5"/>
  <c r="AC45" i="5"/>
  <c r="U45" i="5"/>
  <c r="M45" i="5"/>
  <c r="E45" i="5"/>
  <c r="AE43" i="5"/>
  <c r="AA47" i="5" s="1"/>
  <c r="AA48" i="5" s="1"/>
  <c r="AA49" i="5" s="1"/>
  <c r="W43" i="5"/>
  <c r="S47" i="5" s="1"/>
  <c r="S48" i="5" s="1"/>
  <c r="S49" i="5" s="1"/>
  <c r="O43" i="5"/>
  <c r="K47" i="5" s="1"/>
  <c r="K48" i="5" s="1"/>
  <c r="K49" i="5" s="1"/>
  <c r="G43" i="5"/>
  <c r="C47" i="5" s="1"/>
  <c r="C48" i="5" s="1"/>
  <c r="C49" i="5" s="1"/>
  <c r="AJ42" i="5"/>
  <c r="AB42" i="5"/>
  <c r="T42" i="5"/>
  <c r="L42" i="5"/>
  <c r="D42" i="5"/>
  <c r="AK36" i="5"/>
  <c r="AC36" i="5"/>
  <c r="U36" i="5"/>
  <c r="M36" i="5"/>
  <c r="E36" i="5"/>
  <c r="AE34" i="5"/>
  <c r="AI38" i="5" s="1"/>
  <c r="AI39" i="5" s="1"/>
  <c r="AI40" i="5" s="1"/>
  <c r="W34" i="5"/>
  <c r="S38" i="5" s="1"/>
  <c r="S39" i="5" s="1"/>
  <c r="S40" i="5" s="1"/>
  <c r="O34" i="5"/>
  <c r="K38" i="5" s="1"/>
  <c r="K39" i="5" s="1"/>
  <c r="K40" i="5" s="1"/>
  <c r="G34" i="5"/>
  <c r="C38" i="5" s="1"/>
  <c r="C39" i="5" s="1"/>
  <c r="C40" i="5" s="1"/>
  <c r="AA23" i="5"/>
  <c r="S23" i="5"/>
  <c r="M23" i="5"/>
  <c r="E23" i="5"/>
  <c r="U21" i="5"/>
  <c r="G21" i="5"/>
  <c r="Z20" i="5"/>
  <c r="R20" i="5"/>
  <c r="L20" i="5"/>
  <c r="D20" i="5"/>
  <c r="AA14" i="5"/>
  <c r="S14" i="5"/>
  <c r="M14" i="5"/>
  <c r="E14" i="5"/>
  <c r="U12" i="5"/>
  <c r="G12" i="5"/>
  <c r="Z11" i="5"/>
  <c r="R11" i="5"/>
  <c r="L11" i="5"/>
  <c r="D11" i="5"/>
  <c r="AA5" i="5"/>
  <c r="S5" i="5"/>
  <c r="M5" i="5"/>
  <c r="E5" i="5"/>
  <c r="U3" i="5"/>
  <c r="G3" i="5"/>
  <c r="K7" i="5" l="1"/>
  <c r="K8" i="5" s="1"/>
  <c r="K9" i="5" s="1"/>
  <c r="Y7" i="5"/>
  <c r="Y8" i="5" s="1"/>
  <c r="Y9" i="5" s="1"/>
  <c r="K16" i="5"/>
  <c r="K17" i="5" s="1"/>
  <c r="K18" i="5" s="1"/>
  <c r="Y16" i="5"/>
  <c r="Y17" i="5" s="1"/>
  <c r="Y18" i="5" s="1"/>
  <c r="H15" i="4"/>
  <c r="I15" i="4" s="1"/>
  <c r="C19" i="4"/>
  <c r="E19" i="4" s="1"/>
  <c r="G19" i="4" s="1"/>
  <c r="H19" i="4" s="1"/>
  <c r="I19" i="4" s="1"/>
  <c r="AI5" i="5"/>
  <c r="AJ5" i="5" s="1"/>
  <c r="AI46" i="5"/>
  <c r="AA46" i="5"/>
  <c r="S46" i="5"/>
  <c r="C46" i="5"/>
  <c r="K46" i="5"/>
  <c r="C37" i="5"/>
  <c r="AI4" i="5"/>
  <c r="AJ4" i="5" s="1"/>
  <c r="AI37" i="5"/>
  <c r="C7" i="5"/>
  <c r="C8" i="5" s="1"/>
  <c r="C9" i="5" s="1"/>
  <c r="Q7" i="5"/>
  <c r="Q8" i="5" s="1"/>
  <c r="Q9" i="5" s="1"/>
  <c r="C16" i="5"/>
  <c r="C17" i="5" s="1"/>
  <c r="C18" i="5" s="1"/>
  <c r="Q16" i="5"/>
  <c r="Q17" i="5" s="1"/>
  <c r="Q18" i="5" s="1"/>
  <c r="AA38" i="5"/>
  <c r="AA39" i="5" s="1"/>
  <c r="AA40" i="5" s="1"/>
  <c r="K37" i="5" s="1"/>
  <c r="N21" i="3"/>
  <c r="Q25" i="5" l="1"/>
  <c r="K36" i="5"/>
  <c r="K41" i="5"/>
  <c r="AA50" i="5"/>
  <c r="AA45" i="5"/>
  <c r="AI50" i="5"/>
  <c r="AI45" i="5"/>
  <c r="AF43" i="5" s="1"/>
  <c r="C36" i="5"/>
  <c r="F35" i="5" s="1"/>
  <c r="C41" i="5"/>
  <c r="S45" i="5"/>
  <c r="S50" i="5"/>
  <c r="S37" i="5"/>
  <c r="AI41" i="5"/>
  <c r="AI36" i="5"/>
  <c r="AF34" i="5" s="1"/>
  <c r="C45" i="5"/>
  <c r="C50" i="5"/>
  <c r="AA37" i="5"/>
  <c r="K45" i="5"/>
  <c r="K50" i="5"/>
  <c r="Y15" i="5"/>
  <c r="AG5" i="5"/>
  <c r="AH5" i="5" s="1"/>
  <c r="Q15" i="5"/>
  <c r="K15" i="5"/>
  <c r="C15" i="5"/>
  <c r="Y6" i="5"/>
  <c r="K6" i="5"/>
  <c r="Q6" i="5"/>
  <c r="AG4" i="5"/>
  <c r="AH4" i="5" s="1"/>
  <c r="C6" i="5"/>
  <c r="M50" i="2"/>
  <c r="M41" i="2"/>
  <c r="AD22" i="3"/>
  <c r="AD23" i="3"/>
  <c r="M26" i="3"/>
  <c r="M25" i="3"/>
  <c r="AD25" i="3" s="1"/>
  <c r="M21" i="3"/>
  <c r="Y24" i="3"/>
  <c r="Y22" i="3"/>
  <c r="Y21" i="3"/>
  <c r="Y26" i="3"/>
  <c r="W26" i="3"/>
  <c r="V26" i="3"/>
  <c r="Y23" i="3"/>
  <c r="W23" i="3"/>
  <c r="V23" i="3"/>
  <c r="Y25" i="3"/>
  <c r="W25" i="3"/>
  <c r="V25" i="3"/>
  <c r="W24" i="3"/>
  <c r="V24" i="3"/>
  <c r="W22" i="3"/>
  <c r="V22" i="3"/>
  <c r="W21" i="3"/>
  <c r="V21" i="3"/>
  <c r="O28" i="3"/>
  <c r="O25" i="3"/>
  <c r="O22" i="3"/>
  <c r="O29" i="3"/>
  <c r="N29" i="3"/>
  <c r="N28" i="3"/>
  <c r="O27" i="3"/>
  <c r="N27" i="3"/>
  <c r="O26" i="3"/>
  <c r="N26" i="3"/>
  <c r="N25" i="3"/>
  <c r="O24" i="3"/>
  <c r="N24" i="3"/>
  <c r="O23" i="3"/>
  <c r="N23" i="3"/>
  <c r="N22" i="3"/>
  <c r="P57" i="1"/>
  <c r="M16" i="3" s="1"/>
  <c r="P56" i="1"/>
  <c r="L16" i="3" s="1"/>
  <c r="P48" i="1"/>
  <c r="P47" i="1"/>
  <c r="P39" i="1"/>
  <c r="P38" i="1"/>
  <c r="L8" i="3" s="1"/>
  <c r="O21" i="3"/>
  <c r="AA21" i="3" s="1"/>
  <c r="M15" i="3"/>
  <c r="L15" i="3"/>
  <c r="M12" i="3"/>
  <c r="L12" i="3"/>
  <c r="M11" i="3"/>
  <c r="L11" i="3"/>
  <c r="M8" i="3"/>
  <c r="M7" i="3"/>
  <c r="L7" i="3"/>
  <c r="H57" i="1"/>
  <c r="H56" i="1"/>
  <c r="H48" i="1"/>
  <c r="H47" i="1"/>
  <c r="H39" i="1"/>
  <c r="H38" i="1"/>
  <c r="P12" i="3"/>
  <c r="O12" i="3"/>
  <c r="N12" i="3"/>
  <c r="P11" i="3"/>
  <c r="O11" i="3"/>
  <c r="N11" i="3"/>
  <c r="P8" i="3"/>
  <c r="O8" i="3"/>
  <c r="N8" i="3"/>
  <c r="P7" i="3"/>
  <c r="O7" i="3"/>
  <c r="N7" i="3"/>
  <c r="K16" i="3"/>
  <c r="J16" i="3"/>
  <c r="I16" i="3"/>
  <c r="K15" i="3"/>
  <c r="J15" i="3"/>
  <c r="I15" i="3"/>
  <c r="K12" i="3"/>
  <c r="J12" i="3"/>
  <c r="I12" i="3"/>
  <c r="K11" i="3"/>
  <c r="J11" i="3"/>
  <c r="I11" i="3"/>
  <c r="K8" i="3"/>
  <c r="J8" i="3"/>
  <c r="I8" i="3"/>
  <c r="K7" i="3"/>
  <c r="I7" i="3"/>
  <c r="J7" i="3"/>
  <c r="AD39" i="1"/>
  <c r="AD41" i="1" s="1"/>
  <c r="M39" i="1"/>
  <c r="AC39" i="1"/>
  <c r="AA38" i="1"/>
  <c r="AA36" i="1"/>
  <c r="K36" i="1"/>
  <c r="AK41" i="2"/>
  <c r="AK50" i="2" s="1"/>
  <c r="AC41" i="2"/>
  <c r="AC50" i="2" s="1"/>
  <c r="AB51" i="2"/>
  <c r="U41" i="2"/>
  <c r="E41" i="2"/>
  <c r="AE52" i="2"/>
  <c r="AE43" i="2"/>
  <c r="W52" i="2"/>
  <c r="W43" i="2"/>
  <c r="O52" i="2"/>
  <c r="O43" i="2"/>
  <c r="G52" i="2"/>
  <c r="G43" i="2"/>
  <c r="G34" i="2"/>
  <c r="U21" i="2"/>
  <c r="U12" i="2"/>
  <c r="S47" i="2"/>
  <c r="S48" i="2" s="1"/>
  <c r="S49" i="2" s="1"/>
  <c r="AE34" i="2"/>
  <c r="W34" i="2"/>
  <c r="AA38" i="2" s="1"/>
  <c r="AA39" i="2" s="1"/>
  <c r="AA40" i="2" s="1"/>
  <c r="O34" i="2"/>
  <c r="C38" i="2"/>
  <c r="C39" i="2" s="1"/>
  <c r="C40" i="2" s="1"/>
  <c r="AC36" i="2"/>
  <c r="U36" i="2"/>
  <c r="M36" i="2"/>
  <c r="AI38" i="2"/>
  <c r="AI39" i="2" s="1"/>
  <c r="AI40" i="2" s="1"/>
  <c r="AC45" i="2"/>
  <c r="U45" i="2"/>
  <c r="M45" i="2"/>
  <c r="AC54" i="2"/>
  <c r="U54" i="2"/>
  <c r="L60" i="2"/>
  <c r="M54" i="2"/>
  <c r="AK45" i="2"/>
  <c r="AK36" i="2"/>
  <c r="E36" i="2"/>
  <c r="E45" i="2"/>
  <c r="AK54" i="2"/>
  <c r="D60" i="2"/>
  <c r="E54" i="2"/>
  <c r="AJ60" i="2"/>
  <c r="AJ51" i="2"/>
  <c r="AJ42" i="2"/>
  <c r="AB42" i="2"/>
  <c r="AB60" i="2"/>
  <c r="T60" i="2"/>
  <c r="T51" i="2"/>
  <c r="T42" i="2"/>
  <c r="L42" i="2"/>
  <c r="L51" i="2"/>
  <c r="D51" i="2"/>
  <c r="D42" i="2"/>
  <c r="AA39" i="1"/>
  <c r="AI39" i="1"/>
  <c r="AK38" i="1"/>
  <c r="AI38" i="1"/>
  <c r="AD38" i="1"/>
  <c r="AC38" i="1"/>
  <c r="V38" i="1"/>
  <c r="U38" i="1"/>
  <c r="S38" i="1"/>
  <c r="K38" i="1"/>
  <c r="M40" i="1"/>
  <c r="K40" i="1"/>
  <c r="N40" i="1"/>
  <c r="V39" i="1"/>
  <c r="S40" i="1" s="1"/>
  <c r="S57" i="1"/>
  <c r="T57" i="1"/>
  <c r="T56" i="1"/>
  <c r="S47" i="1"/>
  <c r="AC57" i="1"/>
  <c r="AB57" i="1"/>
  <c r="AA57" i="1"/>
  <c r="AC56" i="1"/>
  <c r="V57" i="1" s="1"/>
  <c r="AB56" i="1"/>
  <c r="AA56" i="1"/>
  <c r="AD54" i="1"/>
  <c r="AD56" i="1" s="1"/>
  <c r="AC54" i="1"/>
  <c r="AB54" i="1"/>
  <c r="AA54" i="1"/>
  <c r="AK39" i="1"/>
  <c r="AK36" i="1"/>
  <c r="AI36" i="1"/>
  <c r="AB48" i="1"/>
  <c r="AD45" i="1"/>
  <c r="AC45" i="1"/>
  <c r="AC47" i="1" s="1"/>
  <c r="AB45" i="1"/>
  <c r="AB47" i="1" s="1"/>
  <c r="AA45" i="1"/>
  <c r="AA47" i="1" s="1"/>
  <c r="U57" i="1"/>
  <c r="U56" i="1"/>
  <c r="V54" i="1"/>
  <c r="V56" i="1" s="1"/>
  <c r="U54" i="1"/>
  <c r="T54" i="1"/>
  <c r="S54" i="1"/>
  <c r="S56" i="1" s="1"/>
  <c r="N57" i="1"/>
  <c r="M57" i="1"/>
  <c r="L57" i="1"/>
  <c r="K57" i="1"/>
  <c r="K58" i="1" s="1"/>
  <c r="N54" i="1"/>
  <c r="N58" i="1" s="1"/>
  <c r="M54" i="1"/>
  <c r="M56" i="1" s="1"/>
  <c r="L54" i="1"/>
  <c r="L56" i="1" s="1"/>
  <c r="K54" i="1"/>
  <c r="K56" i="1" s="1"/>
  <c r="U48" i="1"/>
  <c r="S48" i="1"/>
  <c r="V45" i="1"/>
  <c r="U45" i="1"/>
  <c r="U47" i="1" s="1"/>
  <c r="AC48" i="1" s="1"/>
  <c r="T45" i="1"/>
  <c r="T47" i="1" s="1"/>
  <c r="S45" i="1"/>
  <c r="N41" i="1"/>
  <c r="N39" i="1"/>
  <c r="D49" i="1"/>
  <c r="N47" i="1"/>
  <c r="M48" i="1"/>
  <c r="K47" i="1"/>
  <c r="K39" i="1" s="1"/>
  <c r="N45" i="1"/>
  <c r="E47" i="1"/>
  <c r="C38" i="1"/>
  <c r="E38" i="1"/>
  <c r="S36" i="1"/>
  <c r="V36" i="1"/>
  <c r="U36" i="1"/>
  <c r="M38" i="1"/>
  <c r="U39" i="1" s="1"/>
  <c r="U37" i="1"/>
  <c r="AD40" i="1"/>
  <c r="AD36" i="1"/>
  <c r="AC36" i="1"/>
  <c r="M37" i="1"/>
  <c r="M36" i="1"/>
  <c r="N38" i="1"/>
  <c r="N36" i="1"/>
  <c r="AA23" i="2"/>
  <c r="AA14" i="2"/>
  <c r="AA5" i="2"/>
  <c r="S23" i="2"/>
  <c r="S5" i="2"/>
  <c r="S14" i="2"/>
  <c r="M5" i="2"/>
  <c r="M14" i="2"/>
  <c r="M23" i="2"/>
  <c r="E23" i="2"/>
  <c r="E14" i="2"/>
  <c r="E5" i="2"/>
  <c r="Z20" i="2"/>
  <c r="Z11" i="2"/>
  <c r="U3" i="2"/>
  <c r="R11" i="2"/>
  <c r="R20" i="2"/>
  <c r="L20" i="2"/>
  <c r="G21" i="2"/>
  <c r="D20" i="2"/>
  <c r="D11" i="2"/>
  <c r="G12" i="2"/>
  <c r="G3" i="2"/>
  <c r="AD21" i="3" l="1"/>
  <c r="AQ11" i="3"/>
  <c r="AD26" i="3"/>
  <c r="AP12" i="3"/>
  <c r="Y25" i="2"/>
  <c r="Y26" i="2" s="1"/>
  <c r="Y27" i="2" s="1"/>
  <c r="Q25" i="2"/>
  <c r="Q26" i="2" s="1"/>
  <c r="Q27" i="2" s="1"/>
  <c r="K25" i="2"/>
  <c r="K26" i="2" s="1"/>
  <c r="K27" i="2" s="1"/>
  <c r="C25" i="2"/>
  <c r="C26" i="2" s="1"/>
  <c r="C27" i="2" s="1"/>
  <c r="C57" i="5"/>
  <c r="C58" i="5" s="1"/>
  <c r="G29" i="5"/>
  <c r="H29" i="5" s="1"/>
  <c r="C25" i="5"/>
  <c r="C26" i="5" s="1"/>
  <c r="C27" i="5" s="1"/>
  <c r="Y7" i="2"/>
  <c r="Y8" i="2" s="1"/>
  <c r="Y9" i="2" s="1"/>
  <c r="K16" i="2"/>
  <c r="K17" i="2" s="1"/>
  <c r="K18" i="2" s="1"/>
  <c r="C16" i="2"/>
  <c r="C17" i="2" s="1"/>
  <c r="C18" i="2" s="1"/>
  <c r="C7" i="2"/>
  <c r="C8" i="2" s="1"/>
  <c r="C9" i="2" s="1"/>
  <c r="K7" i="2"/>
  <c r="K8" i="2" s="1"/>
  <c r="K9" i="2" s="1"/>
  <c r="W60" i="5"/>
  <c r="Q26" i="5"/>
  <c r="Q27" i="5" s="1"/>
  <c r="U29" i="5"/>
  <c r="V29" i="5" s="1"/>
  <c r="K25" i="5"/>
  <c r="K26" i="5" s="1"/>
  <c r="K27" i="5" s="1"/>
  <c r="Y25" i="5"/>
  <c r="Y26" i="5" s="1"/>
  <c r="Y27" i="5" s="1"/>
  <c r="S56" i="5"/>
  <c r="S57" i="5" s="1"/>
  <c r="S58" i="5" s="1"/>
  <c r="AI56" i="5"/>
  <c r="AI57" i="5" s="1"/>
  <c r="AI58" i="5" s="1"/>
  <c r="AA56" i="5"/>
  <c r="AA57" i="5" s="1"/>
  <c r="AA58" i="5" s="1"/>
  <c r="K56" i="5"/>
  <c r="K57" i="5" s="1"/>
  <c r="K58" i="5" s="1"/>
  <c r="K5" i="5"/>
  <c r="H3" i="5" s="1"/>
  <c r="K10" i="5"/>
  <c r="C19" i="5"/>
  <c r="C14" i="5"/>
  <c r="Y5" i="5"/>
  <c r="V3" i="5" s="1"/>
  <c r="Y10" i="5"/>
  <c r="K14" i="5"/>
  <c r="K19" i="5"/>
  <c r="Q5" i="5"/>
  <c r="T4" i="5" s="1"/>
  <c r="Q10" i="5"/>
  <c r="Q14" i="5"/>
  <c r="Q19" i="5"/>
  <c r="H43" i="5"/>
  <c r="N44" i="5"/>
  <c r="O46" i="5" s="1"/>
  <c r="AA41" i="5"/>
  <c r="AD44" i="5" s="1"/>
  <c r="AE46" i="5" s="1"/>
  <c r="AA36" i="5"/>
  <c r="F44" i="5"/>
  <c r="G46" i="5" s="1"/>
  <c r="Y19" i="5"/>
  <c r="Y14" i="5"/>
  <c r="S41" i="5"/>
  <c r="S36" i="5"/>
  <c r="P43" i="5"/>
  <c r="V44" i="5"/>
  <c r="H34" i="5"/>
  <c r="G37" i="5" s="1"/>
  <c r="E41" i="5" s="1"/>
  <c r="N35" i="5"/>
  <c r="C10" i="5"/>
  <c r="C5" i="5"/>
  <c r="F4" i="5" s="1"/>
  <c r="T11" i="3"/>
  <c r="AA22" i="3"/>
  <c r="AH22" i="3" s="1"/>
  <c r="X21" i="3"/>
  <c r="R11" i="3"/>
  <c r="R12" i="3"/>
  <c r="T12" i="3"/>
  <c r="AA24" i="3"/>
  <c r="AH24" i="3" s="1"/>
  <c r="M24" i="3"/>
  <c r="P26" i="3"/>
  <c r="AC26" i="3" s="1"/>
  <c r="AJ22" i="3"/>
  <c r="AJ23" i="3"/>
  <c r="AJ21" i="3"/>
  <c r="AJ25" i="3"/>
  <c r="AJ26" i="3"/>
  <c r="X23" i="3"/>
  <c r="M28" i="3"/>
  <c r="AD28" i="3" s="1"/>
  <c r="Q8" i="3"/>
  <c r="M29" i="3"/>
  <c r="P23" i="3"/>
  <c r="Q23" i="3" s="1"/>
  <c r="S12" i="3"/>
  <c r="X24" i="3"/>
  <c r="P21" i="3"/>
  <c r="P24" i="3"/>
  <c r="AC24" i="3" s="1"/>
  <c r="X25" i="3"/>
  <c r="X26" i="3"/>
  <c r="T7" i="3"/>
  <c r="S8" i="3"/>
  <c r="U8" i="3" s="1"/>
  <c r="P25" i="3"/>
  <c r="P27" i="3"/>
  <c r="P28" i="3"/>
  <c r="AA26" i="3"/>
  <c r="AH26" i="3" s="1"/>
  <c r="AA25" i="3"/>
  <c r="AH25" i="3" s="1"/>
  <c r="Q12" i="3"/>
  <c r="AH21" i="3"/>
  <c r="AA29" i="3"/>
  <c r="AA28" i="3"/>
  <c r="R15" i="3"/>
  <c r="S11" i="3"/>
  <c r="S7" i="3"/>
  <c r="AA27" i="3"/>
  <c r="P29" i="3"/>
  <c r="AC29" i="3" s="1"/>
  <c r="P22" i="3"/>
  <c r="AA23" i="3"/>
  <c r="AH23" i="3" s="1"/>
  <c r="X22" i="3"/>
  <c r="R7" i="3"/>
  <c r="Q15" i="3"/>
  <c r="R16" i="3"/>
  <c r="R8" i="3"/>
  <c r="T8" i="3"/>
  <c r="Q11" i="3"/>
  <c r="Q7" i="3"/>
  <c r="Q16" i="3"/>
  <c r="AA40" i="1"/>
  <c r="Y16" i="2"/>
  <c r="Y17" i="2" s="1"/>
  <c r="Y18" i="2" s="1"/>
  <c r="Q16" i="2"/>
  <c r="Q17" i="2" s="1"/>
  <c r="Q18" i="2" s="1"/>
  <c r="Q7" i="2"/>
  <c r="Q8" i="2" s="1"/>
  <c r="Q9" i="2" s="1"/>
  <c r="AI47" i="2"/>
  <c r="AI48" i="2" s="1"/>
  <c r="AI49" i="2" s="1"/>
  <c r="AA47" i="2"/>
  <c r="AA48" i="2" s="1"/>
  <c r="AA49" i="2" s="1"/>
  <c r="K47" i="2"/>
  <c r="K48" i="2" s="1"/>
  <c r="K49" i="2" s="1"/>
  <c r="S38" i="2"/>
  <c r="S39" i="2" s="1"/>
  <c r="S40" i="2" s="1"/>
  <c r="C47" i="2"/>
  <c r="C48" i="2" s="1"/>
  <c r="C49" i="2" s="1"/>
  <c r="K38" i="2"/>
  <c r="K39" i="2" s="1"/>
  <c r="K40" i="2" s="1"/>
  <c r="AA41" i="1"/>
  <c r="AA48" i="1"/>
  <c r="AC40" i="1"/>
  <c r="V40" i="1"/>
  <c r="U40" i="1"/>
  <c r="U41" i="1" s="1"/>
  <c r="V41" i="1"/>
  <c r="S58" i="1"/>
  <c r="S59" i="1" s="1"/>
  <c r="U58" i="1"/>
  <c r="U59" i="1" s="1"/>
  <c r="V58" i="1"/>
  <c r="V59" i="1" s="1"/>
  <c r="T58" i="1"/>
  <c r="T59" i="1" s="1"/>
  <c r="V48" i="1"/>
  <c r="AD47" i="1"/>
  <c r="T48" i="1"/>
  <c r="K59" i="1"/>
  <c r="N56" i="1"/>
  <c r="N59" i="1" s="1"/>
  <c r="L58" i="1"/>
  <c r="L59" i="1" s="1"/>
  <c r="M58" i="1"/>
  <c r="M59" i="1" s="1"/>
  <c r="N48" i="1"/>
  <c r="V47" i="1"/>
  <c r="E39" i="1"/>
  <c r="E57" i="1"/>
  <c r="L48" i="1"/>
  <c r="AD29" i="3" l="1"/>
  <c r="AD24" i="3"/>
  <c r="AQ12" i="3"/>
  <c r="AJ5" i="2"/>
  <c r="AK5" i="2" s="1"/>
  <c r="AL5" i="2" s="1"/>
  <c r="AJ6" i="2"/>
  <c r="AK6" i="2" s="1"/>
  <c r="AL6" i="2" s="1"/>
  <c r="U12" i="3"/>
  <c r="U7" i="3"/>
  <c r="U11" i="3"/>
  <c r="AG4" i="2"/>
  <c r="AH4" i="2" s="1"/>
  <c r="AJ4" i="2"/>
  <c r="AK4" i="2" s="1"/>
  <c r="AL4" i="2" s="1"/>
  <c r="Y6" i="2"/>
  <c r="Y10" i="2" s="1"/>
  <c r="T13" i="5"/>
  <c r="AG6" i="2"/>
  <c r="AH6" i="2" s="1"/>
  <c r="K6" i="2"/>
  <c r="K5" i="2" s="1"/>
  <c r="H3" i="2" s="1"/>
  <c r="O5" i="3" s="1"/>
  <c r="Q6" i="2"/>
  <c r="Q5" i="2" s="1"/>
  <c r="C6" i="2"/>
  <c r="C5" i="2" s="1"/>
  <c r="K15" i="2"/>
  <c r="K14" i="2" s="1"/>
  <c r="AG5" i="2"/>
  <c r="AH5" i="2" s="1"/>
  <c r="C15" i="2"/>
  <c r="C14" i="2" s="1"/>
  <c r="R25" i="3" s="1"/>
  <c r="Q15" i="2"/>
  <c r="Q19" i="2" s="1"/>
  <c r="S24" i="3" s="1"/>
  <c r="Y15" i="2"/>
  <c r="Y19" i="2" s="1"/>
  <c r="U6" i="5"/>
  <c r="S10" i="5" s="1"/>
  <c r="G6" i="5"/>
  <c r="E10" i="5" s="1"/>
  <c r="H12" i="5"/>
  <c r="C24" i="5"/>
  <c r="C23" i="5" s="1"/>
  <c r="F22" i="5" s="1"/>
  <c r="K24" i="5"/>
  <c r="AG6" i="5"/>
  <c r="AH6" i="5" s="1"/>
  <c r="K6" i="4" s="1"/>
  <c r="Y24" i="5"/>
  <c r="Y28" i="5" s="1"/>
  <c r="Q24" i="5"/>
  <c r="Q23" i="5" s="1"/>
  <c r="T22" i="5" s="1"/>
  <c r="AI6" i="5"/>
  <c r="AJ6" i="5" s="1"/>
  <c r="K7" i="4" s="1"/>
  <c r="AA55" i="5"/>
  <c r="S55" i="5"/>
  <c r="K55" i="5"/>
  <c r="AI55" i="5"/>
  <c r="C55" i="5"/>
  <c r="AD35" i="5"/>
  <c r="AE37" i="5" s="1"/>
  <c r="X34" i="5"/>
  <c r="X43" i="5"/>
  <c r="E50" i="5"/>
  <c r="V35" i="5"/>
  <c r="W37" i="5" s="1"/>
  <c r="P34" i="5"/>
  <c r="O37" i="5" s="1"/>
  <c r="M41" i="5" s="1"/>
  <c r="M50" i="5" s="1"/>
  <c r="V12" i="5"/>
  <c r="W46" i="5"/>
  <c r="F13" i="5"/>
  <c r="AI24" i="3"/>
  <c r="AJ24" i="3"/>
  <c r="AC21" i="3"/>
  <c r="AI21" i="3" s="1"/>
  <c r="AC23" i="3"/>
  <c r="AI23" i="3" s="1"/>
  <c r="Q26" i="3"/>
  <c r="AI26" i="3"/>
  <c r="M27" i="3"/>
  <c r="AD27" i="3" s="1"/>
  <c r="Q21" i="3"/>
  <c r="Q24" i="3"/>
  <c r="Q28" i="3"/>
  <c r="AC28" i="3"/>
  <c r="Q27" i="3"/>
  <c r="AC27" i="3"/>
  <c r="Q29" i="3"/>
  <c r="Q25" i="3"/>
  <c r="AC25" i="3"/>
  <c r="AI25" i="3" s="1"/>
  <c r="Q22" i="3"/>
  <c r="AC22" i="3"/>
  <c r="AI22" i="3" s="1"/>
  <c r="AH12" i="2"/>
  <c r="AA37" i="2"/>
  <c r="AA36" i="2" s="1"/>
  <c r="AD35" i="2" s="1"/>
  <c r="AH11" i="2"/>
  <c r="AH13" i="2"/>
  <c r="AA55" i="2"/>
  <c r="AA54" i="2" s="1"/>
  <c r="AD53" i="2" s="1"/>
  <c r="C24" i="2"/>
  <c r="Y24" i="2"/>
  <c r="Q24" i="2"/>
  <c r="K24" i="2"/>
  <c r="C46" i="2"/>
  <c r="AI55" i="2"/>
  <c r="AI54" i="2" s="1"/>
  <c r="C55" i="2"/>
  <c r="C59" i="2" s="1"/>
  <c r="W27" i="3" s="1"/>
  <c r="AA46" i="2"/>
  <c r="AI46" i="2"/>
  <c r="AI37" i="2"/>
  <c r="K37" i="2"/>
  <c r="C37" i="2"/>
  <c r="S37" i="2"/>
  <c r="V49" i="1"/>
  <c r="V50" i="1" s="1"/>
  <c r="U49" i="1"/>
  <c r="U50" i="1" s="1"/>
  <c r="T49" i="1"/>
  <c r="T50" i="1" s="1"/>
  <c r="S49" i="1"/>
  <c r="S50" i="1" s="1"/>
  <c r="K19" i="2" l="1"/>
  <c r="AA59" i="2"/>
  <c r="Y5" i="2"/>
  <c r="V3" i="2" s="1"/>
  <c r="O6" i="3" s="1"/>
  <c r="Y14" i="2"/>
  <c r="V12" i="2" s="1"/>
  <c r="O10" i="3" s="1"/>
  <c r="Q14" i="2"/>
  <c r="R24" i="3" s="1"/>
  <c r="R26" i="3" s="1"/>
  <c r="G15" i="5"/>
  <c r="C19" i="2"/>
  <c r="C10" i="2"/>
  <c r="S22" i="3" s="1"/>
  <c r="U15" i="5"/>
  <c r="S19" i="5" s="1"/>
  <c r="K10" i="2"/>
  <c r="O9" i="3" s="1"/>
  <c r="Q10" i="2"/>
  <c r="S21" i="3" s="1"/>
  <c r="S23" i="3" s="1"/>
  <c r="AA10" i="5"/>
  <c r="S26" i="3"/>
  <c r="M10" i="5"/>
  <c r="F4" i="2"/>
  <c r="R22" i="3"/>
  <c r="T4" i="2"/>
  <c r="R21" i="3"/>
  <c r="C28" i="5"/>
  <c r="Y23" i="5"/>
  <c r="V21" i="5" s="1"/>
  <c r="U24" i="5" s="1"/>
  <c r="Q28" i="5"/>
  <c r="K28" i="5"/>
  <c r="K23" i="5"/>
  <c r="H21" i="5" s="1"/>
  <c r="G24" i="5" s="1"/>
  <c r="K59" i="5"/>
  <c r="K54" i="5"/>
  <c r="S59" i="5"/>
  <c r="S54" i="5"/>
  <c r="AA54" i="5"/>
  <c r="AA59" i="5"/>
  <c r="C54" i="5"/>
  <c r="F53" i="5" s="1"/>
  <c r="C59" i="5"/>
  <c r="AI59" i="5"/>
  <c r="AI54" i="5"/>
  <c r="AF52" i="5" s="1"/>
  <c r="U41" i="5"/>
  <c r="U50" i="5"/>
  <c r="AK41" i="5"/>
  <c r="AK50" i="5" s="1"/>
  <c r="AC41" i="5"/>
  <c r="AC50" i="5" s="1"/>
  <c r="AA41" i="2"/>
  <c r="K28" i="2"/>
  <c r="K23" i="2"/>
  <c r="Q28" i="2"/>
  <c r="S27" i="3" s="1"/>
  <c r="Q23" i="2"/>
  <c r="Y23" i="2"/>
  <c r="V21" i="2" s="1"/>
  <c r="O14" i="3" s="1"/>
  <c r="Y28" i="2"/>
  <c r="C28" i="2"/>
  <c r="S28" i="3" s="1"/>
  <c r="C23" i="2"/>
  <c r="X34" i="2"/>
  <c r="AI59" i="2"/>
  <c r="AA45" i="2"/>
  <c r="AA50" i="2"/>
  <c r="K55" i="2"/>
  <c r="K54" i="2" s="1"/>
  <c r="S55" i="2"/>
  <c r="M45" i="1"/>
  <c r="L45" i="1"/>
  <c r="L47" i="1" s="1"/>
  <c r="K45" i="1"/>
  <c r="M47" i="1"/>
  <c r="AK54" i="1"/>
  <c r="AK56" i="1" s="1"/>
  <c r="AD57" i="1" s="1"/>
  <c r="AJ54" i="1"/>
  <c r="AJ56" i="1" s="1"/>
  <c r="AI54" i="1"/>
  <c r="AI56" i="1" s="1"/>
  <c r="AK45" i="1"/>
  <c r="AK47" i="1" s="1"/>
  <c r="AD48" i="1" s="1"/>
  <c r="AJ45" i="1"/>
  <c r="AJ47" i="1" s="1"/>
  <c r="AI57" i="1" s="1"/>
  <c r="AI45" i="1"/>
  <c r="AI47" i="1" s="1"/>
  <c r="AK57" i="1"/>
  <c r="AK48" i="1"/>
  <c r="E54" i="1"/>
  <c r="E56" i="1" s="1"/>
  <c r="D54" i="1"/>
  <c r="D56" i="1" s="1"/>
  <c r="C54" i="1"/>
  <c r="C56" i="1" s="1"/>
  <c r="E45" i="1"/>
  <c r="D45" i="1"/>
  <c r="D47" i="1" s="1"/>
  <c r="C57" i="1" s="1"/>
  <c r="C45" i="1"/>
  <c r="C47" i="1" s="1"/>
  <c r="C39" i="1" s="1"/>
  <c r="E36" i="1"/>
  <c r="C36" i="1"/>
  <c r="AA23" i="1"/>
  <c r="AA25" i="1" s="1"/>
  <c r="Z23" i="1"/>
  <c r="Z25" i="1" s="1"/>
  <c r="Y23" i="1"/>
  <c r="Y25" i="1" s="1"/>
  <c r="S23" i="1"/>
  <c r="S25" i="1" s="1"/>
  <c r="R23" i="1"/>
  <c r="R25" i="1" s="1"/>
  <c r="Q23" i="1"/>
  <c r="Q25" i="1" s="1"/>
  <c r="AA14" i="1"/>
  <c r="AA16" i="1" s="1"/>
  <c r="Z14" i="1"/>
  <c r="Z16" i="1" s="1"/>
  <c r="Y14" i="1"/>
  <c r="Y16" i="1" s="1"/>
  <c r="S14" i="1"/>
  <c r="S16" i="1" s="1"/>
  <c r="R14" i="1"/>
  <c r="R16" i="1" s="1"/>
  <c r="Q26" i="1" s="1"/>
  <c r="Q14" i="1"/>
  <c r="Q16" i="1" s="1"/>
  <c r="AA5" i="1"/>
  <c r="AA7" i="1" s="1"/>
  <c r="Y5" i="1"/>
  <c r="Y7" i="1" s="1"/>
  <c r="S5" i="1"/>
  <c r="S7" i="1" s="1"/>
  <c r="Q5" i="1"/>
  <c r="Q7" i="1" s="1"/>
  <c r="K23" i="1"/>
  <c r="K25" i="1" s="1"/>
  <c r="L17" i="1" s="1"/>
  <c r="M23" i="1"/>
  <c r="M25" i="1" s="1"/>
  <c r="L23" i="1"/>
  <c r="L25" i="1" s="1"/>
  <c r="M14" i="1"/>
  <c r="M16" i="1" s="1"/>
  <c r="E17" i="1" s="1"/>
  <c r="L14" i="1"/>
  <c r="L16" i="1" s="1"/>
  <c r="K26" i="1" s="1"/>
  <c r="K14" i="1"/>
  <c r="K16" i="1" s="1"/>
  <c r="K8" i="1" s="1"/>
  <c r="M5" i="1"/>
  <c r="M7" i="1" s="1"/>
  <c r="E8" i="1" s="1"/>
  <c r="K5" i="1"/>
  <c r="K7" i="1" s="1"/>
  <c r="K17" i="1" s="1"/>
  <c r="C23" i="1"/>
  <c r="C25" i="1" s="1"/>
  <c r="D17" i="1" s="1"/>
  <c r="E23" i="1"/>
  <c r="M26" i="1" s="1"/>
  <c r="D23" i="1"/>
  <c r="D25" i="1" s="1"/>
  <c r="E14" i="1"/>
  <c r="E16" i="1" s="1"/>
  <c r="M17" i="1" s="1"/>
  <c r="D14" i="1"/>
  <c r="D16" i="1" s="1"/>
  <c r="C26" i="1" s="1"/>
  <c r="C14" i="1"/>
  <c r="C16" i="1" s="1"/>
  <c r="C8" i="1" s="1"/>
  <c r="E5" i="1"/>
  <c r="E7" i="1" s="1"/>
  <c r="C5" i="1"/>
  <c r="C7" i="1" s="1"/>
  <c r="C17" i="1" s="1"/>
  <c r="H21" i="2" l="1"/>
  <c r="O13" i="3" s="1"/>
  <c r="S25" i="3"/>
  <c r="T25" i="3" s="1"/>
  <c r="F22" i="2"/>
  <c r="V28" i="3"/>
  <c r="H52" i="2"/>
  <c r="O15" i="3" s="1"/>
  <c r="S15" i="3" s="1"/>
  <c r="U15" i="3" s="1"/>
  <c r="M19" i="5"/>
  <c r="M28" i="5" s="1"/>
  <c r="E19" i="5"/>
  <c r="E28" i="5" s="1"/>
  <c r="T24" i="3"/>
  <c r="T26" i="3" s="1"/>
  <c r="T22" i="3"/>
  <c r="F13" i="2"/>
  <c r="G15" i="2" s="1"/>
  <c r="T13" i="2"/>
  <c r="N10" i="3" s="1"/>
  <c r="T21" i="3"/>
  <c r="AA19" i="5"/>
  <c r="AA28" i="5" s="1"/>
  <c r="R28" i="3"/>
  <c r="T28" i="3" s="1"/>
  <c r="T22" i="2"/>
  <c r="N14" i="3" s="1"/>
  <c r="R27" i="3"/>
  <c r="S29" i="3"/>
  <c r="L18" i="1"/>
  <c r="L19" i="1" s="1"/>
  <c r="T23" i="3"/>
  <c r="M8" i="1"/>
  <c r="K9" i="1" s="1"/>
  <c r="K10" i="1" s="1"/>
  <c r="E9" i="1"/>
  <c r="E10" i="1" s="1"/>
  <c r="G6" i="2"/>
  <c r="N5" i="3"/>
  <c r="R23" i="3"/>
  <c r="U6" i="2"/>
  <c r="N6" i="3"/>
  <c r="S28" i="5"/>
  <c r="V53" i="5"/>
  <c r="P52" i="5"/>
  <c r="H52" i="5"/>
  <c r="G55" i="5" s="1"/>
  <c r="E59" i="5" s="1"/>
  <c r="N53" i="5"/>
  <c r="AD53" i="5"/>
  <c r="AE55" i="5" s="1"/>
  <c r="X52" i="5"/>
  <c r="X43" i="2"/>
  <c r="AD44" i="2"/>
  <c r="X52" i="2"/>
  <c r="S46" i="2"/>
  <c r="K46" i="2"/>
  <c r="K59" i="2"/>
  <c r="W28" i="3" s="1"/>
  <c r="X28" i="3" s="1"/>
  <c r="AI28" i="3" s="1"/>
  <c r="S59" i="2"/>
  <c r="W29" i="3" s="1"/>
  <c r="S54" i="2"/>
  <c r="V29" i="3" s="1"/>
  <c r="AI36" i="2"/>
  <c r="AF34" i="2" s="1"/>
  <c r="AE37" i="2" s="1"/>
  <c r="AI41" i="2"/>
  <c r="AI45" i="2"/>
  <c r="AF43" i="2" s="1"/>
  <c r="AI50" i="2"/>
  <c r="AF52" i="2" s="1"/>
  <c r="AE55" i="2" s="1"/>
  <c r="AC58" i="1"/>
  <c r="AC59" i="1" s="1"/>
  <c r="AA58" i="1"/>
  <c r="AA59" i="1" s="1"/>
  <c r="AD58" i="1"/>
  <c r="AD59" i="1" s="1"/>
  <c r="AB58" i="1"/>
  <c r="AB59" i="1" s="1"/>
  <c r="AK40" i="1"/>
  <c r="AK41" i="1" s="1"/>
  <c r="AI40" i="1"/>
  <c r="AI41" i="1" s="1"/>
  <c r="AD49" i="1"/>
  <c r="AD50" i="1" s="1"/>
  <c r="AC49" i="1"/>
  <c r="AC50" i="1" s="1"/>
  <c r="AB49" i="1"/>
  <c r="AB50" i="1" s="1"/>
  <c r="AA49" i="1"/>
  <c r="AA50" i="1" s="1"/>
  <c r="E48" i="1"/>
  <c r="E58" i="1"/>
  <c r="D58" i="1"/>
  <c r="D59" i="1" s="1"/>
  <c r="D62" i="1" s="1"/>
  <c r="C58" i="1"/>
  <c r="AI48" i="1"/>
  <c r="AK58" i="1"/>
  <c r="AJ58" i="1"/>
  <c r="AJ59" i="1" s="1"/>
  <c r="AJ62" i="1" s="1"/>
  <c r="AI58" i="1"/>
  <c r="AI59" i="1" s="1"/>
  <c r="AJ48" i="1"/>
  <c r="AK59" i="1"/>
  <c r="AC41" i="1"/>
  <c r="S39" i="1"/>
  <c r="D48" i="1"/>
  <c r="K48" i="1"/>
  <c r="C48" i="1"/>
  <c r="AA26" i="1"/>
  <c r="AA17" i="1"/>
  <c r="R17" i="1"/>
  <c r="S8" i="1"/>
  <c r="Y8" i="1"/>
  <c r="Y26" i="1"/>
  <c r="Z17" i="1"/>
  <c r="S17" i="1"/>
  <c r="Y17" i="1"/>
  <c r="S26" i="1"/>
  <c r="Q27" i="1" s="1"/>
  <c r="Q28" i="1" s="1"/>
  <c r="J24" i="3" s="1"/>
  <c r="J26" i="3" s="1"/>
  <c r="Q8" i="1"/>
  <c r="AA8" i="1"/>
  <c r="Q17" i="1"/>
  <c r="E18" i="1"/>
  <c r="E19" i="1" s="1"/>
  <c r="C18" i="1"/>
  <c r="C19" i="1" s="1"/>
  <c r="J22" i="3" s="1"/>
  <c r="D18" i="1"/>
  <c r="D19" i="1" s="1"/>
  <c r="I25" i="3" s="1"/>
  <c r="M27" i="1"/>
  <c r="M28" i="1" s="1"/>
  <c r="K13" i="3" s="1"/>
  <c r="L27" i="1"/>
  <c r="L28" i="1" s="1"/>
  <c r="L31" i="1" s="1"/>
  <c r="K27" i="1"/>
  <c r="K28" i="1" s="1"/>
  <c r="M18" i="1"/>
  <c r="M19" i="1" s="1"/>
  <c r="K9" i="3" s="1"/>
  <c r="K18" i="1"/>
  <c r="K19" i="1" s="1"/>
  <c r="C9" i="1"/>
  <c r="C10" i="1" s="1"/>
  <c r="I22" i="3" s="1"/>
  <c r="E26" i="1"/>
  <c r="E27" i="1" s="1"/>
  <c r="AH29" i="3" l="1"/>
  <c r="G24" i="2"/>
  <c r="P13" i="3" s="1"/>
  <c r="N13" i="3"/>
  <c r="AK59" i="2"/>
  <c r="X29" i="3"/>
  <c r="AI29" i="3" s="1"/>
  <c r="AH28" i="3"/>
  <c r="T27" i="3"/>
  <c r="T29" i="3" s="1"/>
  <c r="R29" i="3"/>
  <c r="U15" i="2"/>
  <c r="P10" i="3" s="1"/>
  <c r="N9" i="3"/>
  <c r="M9" i="1"/>
  <c r="M10" i="1" s="1"/>
  <c r="K5" i="3" s="1"/>
  <c r="D27" i="1"/>
  <c r="D28" i="1" s="1"/>
  <c r="C27" i="1"/>
  <c r="C28" i="1" s="1"/>
  <c r="J25" i="3" s="1"/>
  <c r="K25" i="3" s="1"/>
  <c r="U24" i="2"/>
  <c r="P14" i="3" s="1"/>
  <c r="H16" i="1"/>
  <c r="L9" i="3" s="1"/>
  <c r="I9" i="3"/>
  <c r="I5" i="3"/>
  <c r="K22" i="3"/>
  <c r="Z22" i="3"/>
  <c r="P6" i="3"/>
  <c r="AA10" i="2"/>
  <c r="S10" i="2"/>
  <c r="U21" i="3" s="1"/>
  <c r="M10" i="2"/>
  <c r="M19" i="2" s="1"/>
  <c r="P5" i="3"/>
  <c r="E10" i="2"/>
  <c r="U22" i="3" s="1"/>
  <c r="AG22" i="3" s="1"/>
  <c r="P9" i="3"/>
  <c r="O55" i="5"/>
  <c r="M59" i="5" s="1"/>
  <c r="AK59" i="5"/>
  <c r="W55" i="5"/>
  <c r="AE46" i="2"/>
  <c r="S41" i="2"/>
  <c r="S36" i="2"/>
  <c r="K41" i="2"/>
  <c r="K36" i="2"/>
  <c r="N35" i="2" s="1"/>
  <c r="S50" i="2"/>
  <c r="P52" i="2" s="1"/>
  <c r="O16" i="3" s="1"/>
  <c r="S16" i="3" s="1"/>
  <c r="U16" i="3" s="1"/>
  <c r="S45" i="2"/>
  <c r="K50" i="2"/>
  <c r="N53" i="2" s="1"/>
  <c r="K45" i="2"/>
  <c r="N44" i="2" s="1"/>
  <c r="C41" i="2"/>
  <c r="C36" i="2"/>
  <c r="F35" i="2" s="1"/>
  <c r="C45" i="2"/>
  <c r="C50" i="2"/>
  <c r="C54" i="2"/>
  <c r="K49" i="1"/>
  <c r="K50" i="1" s="1"/>
  <c r="L49" i="1"/>
  <c r="M49" i="1"/>
  <c r="M50" i="1" s="1"/>
  <c r="N49" i="1"/>
  <c r="N50" i="1" s="1"/>
  <c r="C49" i="1"/>
  <c r="C50" i="1" s="1"/>
  <c r="E49" i="1"/>
  <c r="E50" i="1" s="1"/>
  <c r="AJ49" i="1"/>
  <c r="AJ50" i="1" s="1"/>
  <c r="AK49" i="1"/>
  <c r="AK50" i="1" s="1"/>
  <c r="AI49" i="1"/>
  <c r="AI50" i="1" s="1"/>
  <c r="E59" i="1"/>
  <c r="AF54" i="1"/>
  <c r="AB62" i="1"/>
  <c r="X36" i="1"/>
  <c r="T62" i="1"/>
  <c r="S41" i="1"/>
  <c r="E40" i="1"/>
  <c r="E41" i="1" s="1"/>
  <c r="C40" i="1"/>
  <c r="C41" i="1" s="1"/>
  <c r="M41" i="1"/>
  <c r="K41" i="1"/>
  <c r="D50" i="1"/>
  <c r="L50" i="1"/>
  <c r="C59" i="1"/>
  <c r="L62" i="1"/>
  <c r="S27" i="1"/>
  <c r="S28" i="1" s="1"/>
  <c r="R27" i="1"/>
  <c r="R28" i="1" s="1"/>
  <c r="Y9" i="1"/>
  <c r="Y10" i="1" s="1"/>
  <c r="AA9" i="1"/>
  <c r="AA10" i="1" s="1"/>
  <c r="K6" i="3" s="1"/>
  <c r="S9" i="1"/>
  <c r="S10" i="1" s="1"/>
  <c r="Q9" i="1"/>
  <c r="Q10" i="1" s="1"/>
  <c r="I21" i="3" s="1"/>
  <c r="Y27" i="1"/>
  <c r="Y28" i="1" s="1"/>
  <c r="AA27" i="1"/>
  <c r="AA28" i="1" s="1"/>
  <c r="K14" i="3" s="1"/>
  <c r="Z27" i="1"/>
  <c r="Z28" i="1" s="1"/>
  <c r="Z31" i="1" s="1"/>
  <c r="Z18" i="1"/>
  <c r="Z19" i="1" s="1"/>
  <c r="Y18" i="1"/>
  <c r="Y19" i="1" s="1"/>
  <c r="AA18" i="1"/>
  <c r="AA19" i="1" s="1"/>
  <c r="K10" i="3" s="1"/>
  <c r="S18" i="1"/>
  <c r="S19" i="1" s="1"/>
  <c r="R18" i="1"/>
  <c r="R19" i="1" s="1"/>
  <c r="I24" i="3" s="1"/>
  <c r="Q18" i="1"/>
  <c r="Q19" i="1" s="1"/>
  <c r="J21" i="3" s="1"/>
  <c r="J23" i="3" s="1"/>
  <c r="H14" i="1"/>
  <c r="J9" i="3" s="1"/>
  <c r="S9" i="3" s="1"/>
  <c r="E28" i="1"/>
  <c r="M28" i="2" l="1"/>
  <c r="AE22" i="3"/>
  <c r="O55" i="2"/>
  <c r="N16" i="3"/>
  <c r="F53" i="2"/>
  <c r="N15" i="3" s="1"/>
  <c r="V27" i="3"/>
  <c r="AA19" i="2"/>
  <c r="AA28" i="2" s="1"/>
  <c r="H5" i="1"/>
  <c r="J5" i="3" s="1"/>
  <c r="S5" i="3" s="1"/>
  <c r="H7" i="1"/>
  <c r="L5" i="3" s="1"/>
  <c r="M5" i="3" s="1"/>
  <c r="T5" i="3" s="1"/>
  <c r="R31" i="1"/>
  <c r="J27" i="3" s="1"/>
  <c r="J29" i="3" s="1"/>
  <c r="I27" i="3"/>
  <c r="V25" i="1"/>
  <c r="L14" i="3" s="1"/>
  <c r="M14" i="3" s="1"/>
  <c r="R14" i="3" s="1"/>
  <c r="I14" i="3"/>
  <c r="Z21" i="3"/>
  <c r="I23" i="3"/>
  <c r="K21" i="3"/>
  <c r="I6" i="3"/>
  <c r="V7" i="1"/>
  <c r="L6" i="3" s="1"/>
  <c r="V16" i="1"/>
  <c r="L10" i="3" s="1"/>
  <c r="I10" i="3"/>
  <c r="I26" i="3"/>
  <c r="K24" i="3"/>
  <c r="Z24" i="3"/>
  <c r="Z25" i="3"/>
  <c r="H23" i="1"/>
  <c r="J13" i="3" s="1"/>
  <c r="S13" i="3" s="1"/>
  <c r="I13" i="3"/>
  <c r="H25" i="1"/>
  <c r="L13" i="3" s="1"/>
  <c r="S19" i="2"/>
  <c r="S28" i="2" s="1"/>
  <c r="U27" i="3" s="1"/>
  <c r="D31" i="1"/>
  <c r="J28" i="3" s="1"/>
  <c r="I28" i="3"/>
  <c r="U23" i="3"/>
  <c r="AG23" i="3" s="1"/>
  <c r="AG21" i="3"/>
  <c r="Q9" i="3"/>
  <c r="U9" i="3" s="1"/>
  <c r="E19" i="2"/>
  <c r="AB22" i="3"/>
  <c r="AF22" i="3" s="1"/>
  <c r="L22" i="3"/>
  <c r="L25" i="3"/>
  <c r="AB25" i="3"/>
  <c r="AF25" i="3" s="1"/>
  <c r="M9" i="3"/>
  <c r="T9" i="3" s="1"/>
  <c r="U59" i="5"/>
  <c r="AC59" i="5"/>
  <c r="F44" i="2"/>
  <c r="V53" i="2"/>
  <c r="W55" i="2" s="1"/>
  <c r="AC59" i="2" s="1"/>
  <c r="P43" i="2"/>
  <c r="O46" i="2" s="1"/>
  <c r="V44" i="2"/>
  <c r="W46" i="2" s="1"/>
  <c r="U50" i="2" s="1"/>
  <c r="H43" i="2"/>
  <c r="P34" i="2"/>
  <c r="O37" i="2" s="1"/>
  <c r="V35" i="2"/>
  <c r="W37" i="2" s="1"/>
  <c r="H34" i="2"/>
  <c r="G37" i="2" s="1"/>
  <c r="H36" i="1"/>
  <c r="P45" i="1"/>
  <c r="AF45" i="1"/>
  <c r="AF36" i="1"/>
  <c r="H54" i="1"/>
  <c r="X54" i="1"/>
  <c r="P36" i="1"/>
  <c r="P54" i="1"/>
  <c r="H45" i="1"/>
  <c r="X45" i="1"/>
  <c r="V14" i="1"/>
  <c r="J10" i="3" s="1"/>
  <c r="S10" i="3" s="1"/>
  <c r="V23" i="1"/>
  <c r="J14" i="3" s="1"/>
  <c r="S14" i="3" s="1"/>
  <c r="V5" i="1"/>
  <c r="J6" i="3" s="1"/>
  <c r="S6" i="3" s="1"/>
  <c r="R9" i="3" l="1"/>
  <c r="AE21" i="3"/>
  <c r="AE24" i="3"/>
  <c r="AE25" i="3"/>
  <c r="U59" i="2"/>
  <c r="Y29" i="3" s="1"/>
  <c r="AJ29" i="3" s="1"/>
  <c r="G55" i="2"/>
  <c r="P15" i="3" s="1"/>
  <c r="T15" i="3" s="1"/>
  <c r="AH27" i="3"/>
  <c r="X27" i="3"/>
  <c r="AI27" i="3" s="1"/>
  <c r="P16" i="3"/>
  <c r="T16" i="3" s="1"/>
  <c r="Q5" i="3"/>
  <c r="U5" i="3" s="1"/>
  <c r="Q14" i="3"/>
  <c r="U14" i="3" s="1"/>
  <c r="T14" i="3"/>
  <c r="K27" i="3"/>
  <c r="Z27" i="3"/>
  <c r="I29" i="3"/>
  <c r="Q6" i="3"/>
  <c r="U6" i="3" s="1"/>
  <c r="Q10" i="3"/>
  <c r="U10" i="3" s="1"/>
  <c r="AB24" i="3"/>
  <c r="AF24" i="3" s="1"/>
  <c r="L24" i="3"/>
  <c r="Z26" i="3"/>
  <c r="K26" i="3"/>
  <c r="M6" i="3"/>
  <c r="R6" i="3" s="1"/>
  <c r="U24" i="3"/>
  <c r="U26" i="3" s="1"/>
  <c r="AG26" i="3" s="1"/>
  <c r="AB21" i="3"/>
  <c r="AF21" i="3" s="1"/>
  <c r="L21" i="3"/>
  <c r="Z23" i="3"/>
  <c r="K23" i="3"/>
  <c r="M10" i="3"/>
  <c r="T10" i="3" s="1"/>
  <c r="M13" i="3"/>
  <c r="T13" i="3" s="1"/>
  <c r="R13" i="3"/>
  <c r="Q13" i="3"/>
  <c r="U13" i="3" s="1"/>
  <c r="K28" i="3"/>
  <c r="Z28" i="3"/>
  <c r="R5" i="3"/>
  <c r="U25" i="3"/>
  <c r="AG25" i="3" s="1"/>
  <c r="E28" i="2"/>
  <c r="U28" i="3" s="1"/>
  <c r="AG28" i="3" s="1"/>
  <c r="U29" i="3"/>
  <c r="AG29" i="3" s="1"/>
  <c r="AG27" i="3"/>
  <c r="G46" i="2"/>
  <c r="E50" i="2" s="1"/>
  <c r="Y27" i="3" s="1"/>
  <c r="AJ27" i="3" s="1"/>
  <c r="AE27" i="3" l="1"/>
  <c r="AE23" i="3"/>
  <c r="AE26" i="3"/>
  <c r="AE28" i="3"/>
  <c r="M59" i="2"/>
  <c r="Y28" i="3" s="1"/>
  <c r="AJ28" i="3" s="1"/>
  <c r="R10" i="3"/>
  <c r="AG24" i="3"/>
  <c r="K29" i="3"/>
  <c r="Z29" i="3"/>
  <c r="L27" i="3"/>
  <c r="AB27" i="3"/>
  <c r="AF27" i="3" s="1"/>
  <c r="T6" i="3"/>
  <c r="AB26" i="3"/>
  <c r="AF26" i="3" s="1"/>
  <c r="L26" i="3"/>
  <c r="AB23" i="3"/>
  <c r="AF23" i="3" s="1"/>
  <c r="L23" i="3"/>
  <c r="AB28" i="3"/>
  <c r="AF28" i="3" s="1"/>
  <c r="L28" i="3"/>
  <c r="AE29" i="3" l="1"/>
  <c r="AB29" i="3"/>
  <c r="AF29" i="3" s="1"/>
  <c r="L29" i="3"/>
</calcChain>
</file>

<file path=xl/sharedStrings.xml><?xml version="1.0" encoding="utf-8"?>
<sst xmlns="http://schemas.openxmlformats.org/spreadsheetml/2006/main" count="1760" uniqueCount="163">
  <si>
    <t>C</t>
    <phoneticPr fontId="1"/>
  </si>
  <si>
    <t>G</t>
    <phoneticPr fontId="1"/>
  </si>
  <si>
    <t>DF</t>
    <phoneticPr fontId="1"/>
  </si>
  <si>
    <t>FEM</t>
    <phoneticPr fontId="1"/>
  </si>
  <si>
    <t>D1</t>
    <phoneticPr fontId="1"/>
  </si>
  <si>
    <t>C1</t>
    <phoneticPr fontId="1"/>
  </si>
  <si>
    <t>D2</t>
    <phoneticPr fontId="1"/>
  </si>
  <si>
    <t>M0</t>
    <phoneticPr fontId="1"/>
  </si>
  <si>
    <t>C上</t>
    <rPh sb="1" eb="2">
      <t>ウエ</t>
    </rPh>
    <phoneticPr fontId="1"/>
  </si>
  <si>
    <t>C下</t>
    <rPh sb="1" eb="2">
      <t>シタ</t>
    </rPh>
    <phoneticPr fontId="1"/>
  </si>
  <si>
    <t>Σ</t>
    <phoneticPr fontId="1"/>
  </si>
  <si>
    <t>G左</t>
    <rPh sb="1" eb="2">
      <t>ヒダリ</t>
    </rPh>
    <phoneticPr fontId="1"/>
  </si>
  <si>
    <t>G右</t>
    <rPh sb="1" eb="2">
      <t>ミギ</t>
    </rPh>
    <phoneticPr fontId="1"/>
  </si>
  <si>
    <t>k'</t>
  </si>
  <si>
    <t>k'</t>
    <phoneticPr fontId="1"/>
  </si>
  <si>
    <t>※柱脚固定</t>
    <rPh sb="1" eb="3">
      <t>チュウキャク</t>
    </rPh>
    <rPh sb="3" eb="5">
      <t>コテイ</t>
    </rPh>
    <phoneticPr fontId="1"/>
  </si>
  <si>
    <t>a</t>
    <phoneticPr fontId="1"/>
  </si>
  <si>
    <t>D</t>
    <phoneticPr fontId="1"/>
  </si>
  <si>
    <t>Q</t>
    <phoneticPr fontId="1"/>
  </si>
  <si>
    <t>Y2～Y4</t>
    <phoneticPr fontId="1"/>
  </si>
  <si>
    <t>Y1,Y5</t>
    <phoneticPr fontId="1"/>
  </si>
  <si>
    <t>y0</t>
    <phoneticPr fontId="1"/>
  </si>
  <si>
    <t>y1</t>
    <phoneticPr fontId="1"/>
  </si>
  <si>
    <t>y2</t>
    <phoneticPr fontId="1"/>
  </si>
  <si>
    <t>y3</t>
    <phoneticPr fontId="1"/>
  </si>
  <si>
    <t>y</t>
    <phoneticPr fontId="1"/>
  </si>
  <si>
    <t>M上</t>
    <rPh sb="1" eb="2">
      <t>ウエ</t>
    </rPh>
    <phoneticPr fontId="1"/>
  </si>
  <si>
    <t>M下</t>
    <rPh sb="1" eb="2">
      <t>シタ</t>
    </rPh>
    <phoneticPr fontId="1"/>
  </si>
  <si>
    <t>Mb左</t>
    <rPh sb="2" eb="3">
      <t>ヒダリ</t>
    </rPh>
    <phoneticPr fontId="1"/>
  </si>
  <si>
    <t>Mb右</t>
    <rPh sb="2" eb="3">
      <t>ミギ</t>
    </rPh>
    <phoneticPr fontId="1"/>
  </si>
  <si>
    <t>δ(mm)</t>
    <phoneticPr fontId="1"/>
  </si>
  <si>
    <t>1/</t>
    <phoneticPr fontId="1"/>
  </si>
  <si>
    <t>G左</t>
  </si>
  <si>
    <t>X方向</t>
    <rPh sb="1" eb="3">
      <t>ホウコウ</t>
    </rPh>
    <phoneticPr fontId="1"/>
  </si>
  <si>
    <t>Y方向</t>
    <rPh sb="1" eb="3">
      <t>ホウコウ</t>
    </rPh>
    <phoneticPr fontId="1"/>
  </si>
  <si>
    <t>h(m)</t>
    <phoneticPr fontId="1"/>
  </si>
  <si>
    <t>Q</t>
    <phoneticPr fontId="1"/>
  </si>
  <si>
    <t>L</t>
    <phoneticPr fontId="1"/>
  </si>
  <si>
    <t>Ne</t>
    <phoneticPr fontId="1"/>
  </si>
  <si>
    <t>階</t>
    <rPh sb="0" eb="1">
      <t>カイ</t>
    </rPh>
    <phoneticPr fontId="1"/>
  </si>
  <si>
    <t>A,E</t>
    <phoneticPr fontId="1"/>
  </si>
  <si>
    <t>B,C,D</t>
    <phoneticPr fontId="1"/>
  </si>
  <si>
    <t>フレーム</t>
    <phoneticPr fontId="1"/>
  </si>
  <si>
    <t>軸1</t>
    <rPh sb="0" eb="1">
      <t>ジク</t>
    </rPh>
    <phoneticPr fontId="1"/>
  </si>
  <si>
    <t>軸2</t>
    <rPh sb="0" eb="1">
      <t>ジク</t>
    </rPh>
    <phoneticPr fontId="1"/>
  </si>
  <si>
    <t>1,2</t>
    <phoneticPr fontId="1"/>
  </si>
  <si>
    <t>B,D</t>
    <phoneticPr fontId="1"/>
  </si>
  <si>
    <t>A,D</t>
    <phoneticPr fontId="1"/>
  </si>
  <si>
    <t>B,E</t>
    <phoneticPr fontId="1"/>
  </si>
  <si>
    <t>B,C</t>
    <phoneticPr fontId="1"/>
  </si>
  <si>
    <t>C,D</t>
    <phoneticPr fontId="1"/>
  </si>
  <si>
    <t>大梁</t>
    <rPh sb="0" eb="2">
      <t>オオハリ</t>
    </rPh>
    <phoneticPr fontId="1"/>
  </si>
  <si>
    <t>長期</t>
    <rPh sb="0" eb="2">
      <t>チョウキ</t>
    </rPh>
    <phoneticPr fontId="1"/>
  </si>
  <si>
    <t>M左</t>
    <rPh sb="1" eb="2">
      <t>ヒダリ</t>
    </rPh>
    <phoneticPr fontId="1"/>
  </si>
  <si>
    <t>M中</t>
    <rPh sb="1" eb="2">
      <t>ナカ</t>
    </rPh>
    <phoneticPr fontId="1"/>
  </si>
  <si>
    <t>M右</t>
    <rPh sb="1" eb="2">
      <t>ミギ</t>
    </rPh>
    <phoneticPr fontId="1"/>
  </si>
  <si>
    <t>Q</t>
    <phoneticPr fontId="1"/>
  </si>
  <si>
    <t>Q左</t>
    <rPh sb="1" eb="2">
      <t>ヒダリ</t>
    </rPh>
    <phoneticPr fontId="1"/>
  </si>
  <si>
    <t>Q右</t>
    <rPh sb="1" eb="2">
      <t>ミギ</t>
    </rPh>
    <phoneticPr fontId="1"/>
  </si>
  <si>
    <t>短期</t>
    <rPh sb="0" eb="2">
      <t>タンキ</t>
    </rPh>
    <phoneticPr fontId="1"/>
  </si>
  <si>
    <t>Ms</t>
    <phoneticPr fontId="1"/>
  </si>
  <si>
    <t>Qs</t>
    <phoneticPr fontId="1"/>
  </si>
  <si>
    <t>柱</t>
    <rPh sb="0" eb="1">
      <t>ハシラ</t>
    </rPh>
    <phoneticPr fontId="1"/>
  </si>
  <si>
    <t>N</t>
    <phoneticPr fontId="1"/>
  </si>
  <si>
    <t>ML</t>
    <phoneticPr fontId="1"/>
  </si>
  <si>
    <t>QL</t>
    <phoneticPr fontId="1"/>
  </si>
  <si>
    <t>地震時(+)</t>
    <rPh sb="0" eb="2">
      <t>ジシン</t>
    </rPh>
    <rPh sb="2" eb="3">
      <t>ジ</t>
    </rPh>
    <phoneticPr fontId="1"/>
  </si>
  <si>
    <t>Mx上</t>
    <rPh sb="2" eb="3">
      <t>ウエ</t>
    </rPh>
    <phoneticPr fontId="1"/>
  </si>
  <si>
    <t>Mx下</t>
    <rPh sb="2" eb="3">
      <t>シタ</t>
    </rPh>
    <phoneticPr fontId="1"/>
  </si>
  <si>
    <t>Qx上</t>
    <rPh sb="2" eb="3">
      <t>ウエ</t>
    </rPh>
    <phoneticPr fontId="1"/>
  </si>
  <si>
    <t>Qx下</t>
    <rPh sb="2" eb="3">
      <t>シタ</t>
    </rPh>
    <phoneticPr fontId="1"/>
  </si>
  <si>
    <t>My上</t>
    <rPh sb="2" eb="3">
      <t>ウエ</t>
    </rPh>
    <phoneticPr fontId="1"/>
  </si>
  <si>
    <t>My下</t>
    <rPh sb="2" eb="3">
      <t>シタ</t>
    </rPh>
    <phoneticPr fontId="1"/>
  </si>
  <si>
    <t>Qy上</t>
    <rPh sb="2" eb="3">
      <t>ウエ</t>
    </rPh>
    <phoneticPr fontId="1"/>
  </si>
  <si>
    <t>Qy下</t>
    <rPh sb="2" eb="3">
      <t>シタ</t>
    </rPh>
    <phoneticPr fontId="1"/>
  </si>
  <si>
    <t>Qy</t>
    <phoneticPr fontId="1"/>
  </si>
  <si>
    <t>Nx</t>
    <phoneticPr fontId="1"/>
  </si>
  <si>
    <t>Ny</t>
    <phoneticPr fontId="1"/>
  </si>
  <si>
    <t>地震時(X)</t>
    <rPh sb="0" eb="2">
      <t>ジシン</t>
    </rPh>
    <rPh sb="2" eb="3">
      <t>ジ</t>
    </rPh>
    <phoneticPr fontId="1"/>
  </si>
  <si>
    <t>地震時(y)</t>
    <rPh sb="0" eb="2">
      <t>ジシン</t>
    </rPh>
    <rPh sb="2" eb="3">
      <t>ジ</t>
    </rPh>
    <phoneticPr fontId="1"/>
  </si>
  <si>
    <t>Q0</t>
    <phoneticPr fontId="1"/>
  </si>
  <si>
    <t>Q左</t>
    <rPh sb="1" eb="2">
      <t>ヒダリ</t>
    </rPh>
    <phoneticPr fontId="1"/>
  </si>
  <si>
    <t>Q右</t>
    <rPh sb="1" eb="2">
      <t>ミギ</t>
    </rPh>
    <phoneticPr fontId="1"/>
  </si>
  <si>
    <t>MLx</t>
    <phoneticPr fontId="1"/>
  </si>
  <si>
    <t>Mly</t>
    <phoneticPr fontId="1"/>
  </si>
  <si>
    <t>Qx</t>
    <phoneticPr fontId="1"/>
  </si>
  <si>
    <t>Msx</t>
    <phoneticPr fontId="1"/>
  </si>
  <si>
    <t>Qsx</t>
    <phoneticPr fontId="1"/>
  </si>
  <si>
    <t>Nsy</t>
    <phoneticPr fontId="1"/>
  </si>
  <si>
    <t>Nsx</t>
    <phoneticPr fontId="1"/>
  </si>
  <si>
    <t>Msy</t>
    <phoneticPr fontId="1"/>
  </si>
  <si>
    <t>Qsy</t>
    <phoneticPr fontId="1"/>
  </si>
  <si>
    <t>R</t>
    <phoneticPr fontId="1"/>
  </si>
  <si>
    <t>ハイベース</t>
    <phoneticPr fontId="1"/>
  </si>
  <si>
    <t>柱成</t>
    <rPh sb="0" eb="1">
      <t>ハシラ</t>
    </rPh>
    <rPh sb="1" eb="2">
      <t>セイ</t>
    </rPh>
    <phoneticPr fontId="1"/>
  </si>
  <si>
    <t>GB350-4-48</t>
    <phoneticPr fontId="1"/>
  </si>
  <si>
    <t>回転ばね剛性</t>
    <rPh sb="0" eb="2">
      <t>カイテン</t>
    </rPh>
    <rPh sb="4" eb="6">
      <t>ゴウセイ</t>
    </rPh>
    <phoneticPr fontId="1"/>
  </si>
  <si>
    <t>mm</t>
    <phoneticPr fontId="1"/>
  </si>
  <si>
    <t>kNm/rad</t>
    <phoneticPr fontId="1"/>
  </si>
  <si>
    <t>n</t>
    <phoneticPr fontId="1"/>
  </si>
  <si>
    <t>基礎梁B</t>
    <rPh sb="0" eb="2">
      <t>キソ</t>
    </rPh>
    <rPh sb="2" eb="3">
      <t>ハリ</t>
    </rPh>
    <phoneticPr fontId="1"/>
  </si>
  <si>
    <t>基礎梁D</t>
    <rPh sb="0" eb="2">
      <t>キソ</t>
    </rPh>
    <rPh sb="2" eb="3">
      <t>ハリ</t>
    </rPh>
    <phoneticPr fontId="1"/>
  </si>
  <si>
    <t>I</t>
    <phoneticPr fontId="1"/>
  </si>
  <si>
    <t>mm4</t>
    <phoneticPr fontId="1"/>
  </si>
  <si>
    <t>L</t>
    <phoneticPr fontId="1"/>
  </si>
  <si>
    <t>k</t>
    <phoneticPr fontId="1"/>
  </si>
  <si>
    <t>mm3</t>
    <phoneticPr fontId="1"/>
  </si>
  <si>
    <t>kBA</t>
    <phoneticPr fontId="1"/>
  </si>
  <si>
    <t>E</t>
    <phoneticPr fontId="1"/>
  </si>
  <si>
    <t>N/mm2</t>
    <phoneticPr fontId="1"/>
  </si>
  <si>
    <t>Kb</t>
    <phoneticPr fontId="1"/>
  </si>
  <si>
    <t>KG</t>
    <phoneticPr fontId="1"/>
  </si>
  <si>
    <t>X</t>
    <phoneticPr fontId="1"/>
  </si>
  <si>
    <t>Y</t>
    <phoneticPr fontId="1"/>
  </si>
  <si>
    <t>D</t>
    <phoneticPr fontId="1"/>
  </si>
  <si>
    <t>断面</t>
    <rPh sb="0" eb="2">
      <t>ダンメン</t>
    </rPh>
    <phoneticPr fontId="1"/>
  </si>
  <si>
    <t>H-900x300x19x22</t>
    <phoneticPr fontId="1"/>
  </si>
  <si>
    <t>H-500x200x10x16</t>
    <phoneticPr fontId="1"/>
  </si>
  <si>
    <t>□-350x350x16</t>
    <phoneticPr fontId="1"/>
  </si>
  <si>
    <t>反曲点</t>
    <rPh sb="0" eb="1">
      <t>ハン</t>
    </rPh>
    <rPh sb="1" eb="2">
      <t>キョク</t>
    </rPh>
    <rPh sb="2" eb="3">
      <t>テン</t>
    </rPh>
    <phoneticPr fontId="1"/>
  </si>
  <si>
    <t>Y(隅柱)</t>
    <rPh sb="2" eb="3">
      <t>スミ</t>
    </rPh>
    <rPh sb="3" eb="4">
      <t>ハシラ</t>
    </rPh>
    <phoneticPr fontId="1"/>
  </si>
  <si>
    <t>X(外フレーム)</t>
    <rPh sb="2" eb="3">
      <t>ソト</t>
    </rPh>
    <phoneticPr fontId="1"/>
  </si>
  <si>
    <t>X(内フレーム)</t>
    <rPh sb="2" eb="3">
      <t>ウチ</t>
    </rPh>
    <phoneticPr fontId="1"/>
  </si>
  <si>
    <t>Y(内柱)</t>
    <rPh sb="2" eb="3">
      <t>ウチ</t>
    </rPh>
    <rPh sb="3" eb="4">
      <t>ハシラ</t>
    </rPh>
    <phoneticPr fontId="1"/>
  </si>
  <si>
    <t>□-600x600x22</t>
    <phoneticPr fontId="1"/>
  </si>
  <si>
    <t>□-350x350x16</t>
    <phoneticPr fontId="1"/>
  </si>
  <si>
    <t>GB600-12-56</t>
    <phoneticPr fontId="1"/>
  </si>
  <si>
    <t>reqMs</t>
    <phoneticPr fontId="1"/>
  </si>
  <si>
    <t>H</t>
    <phoneticPr fontId="1"/>
  </si>
  <si>
    <t>B</t>
    <phoneticPr fontId="1"/>
  </si>
  <si>
    <t>tw</t>
    <phoneticPr fontId="1"/>
  </si>
  <si>
    <t>tf</t>
    <phoneticPr fontId="1"/>
  </si>
  <si>
    <t>F</t>
    <phoneticPr fontId="1"/>
  </si>
  <si>
    <t>Q(kN)</t>
    <phoneticPr fontId="1"/>
  </si>
  <si>
    <t>柱剛性</t>
    <rPh sb="0" eb="1">
      <t>ハシラ</t>
    </rPh>
    <rPh sb="1" eb="3">
      <t>ゴウセイ</t>
    </rPh>
    <phoneticPr fontId="1"/>
  </si>
  <si>
    <t>reqD</t>
    <phoneticPr fontId="1"/>
  </si>
  <si>
    <t>reqDsum</t>
    <phoneticPr fontId="1"/>
  </si>
  <si>
    <t>reqkc</t>
    <phoneticPr fontId="1"/>
  </si>
  <si>
    <t>reqI(mm4)</t>
    <phoneticPr fontId="1"/>
  </si>
  <si>
    <t>最低断面</t>
    <rPh sb="0" eb="2">
      <t>サイテイ</t>
    </rPh>
    <rPh sb="2" eb="4">
      <t>ダンメン</t>
    </rPh>
    <phoneticPr fontId="1"/>
  </si>
  <si>
    <t>□-250x250x9</t>
    <phoneticPr fontId="1"/>
  </si>
  <si>
    <t>□-300x300x12</t>
    <phoneticPr fontId="1"/>
  </si>
  <si>
    <t>□-300x300x16</t>
    <phoneticPr fontId="1"/>
  </si>
  <si>
    <t>□-300x300x19</t>
    <phoneticPr fontId="1"/>
  </si>
  <si>
    <t>□-250x250x12</t>
    <phoneticPr fontId="1"/>
  </si>
  <si>
    <t>Ny</t>
    <phoneticPr fontId="1"/>
  </si>
  <si>
    <t>Mpf</t>
    <phoneticPr fontId="1"/>
  </si>
  <si>
    <t>Nyx</t>
    <phoneticPr fontId="1"/>
  </si>
  <si>
    <t>Nyy</t>
    <phoneticPr fontId="1"/>
  </si>
  <si>
    <t>reqMpx</t>
    <phoneticPr fontId="1"/>
  </si>
  <si>
    <t>reqMpy</t>
    <phoneticPr fontId="1"/>
  </si>
  <si>
    <t>□-350x350x12</t>
    <phoneticPr fontId="1"/>
  </si>
  <si>
    <t>tc1</t>
    <phoneticPr fontId="1"/>
  </si>
  <si>
    <t>tc2x</t>
    <phoneticPr fontId="1"/>
  </si>
  <si>
    <t>tc2y</t>
    <phoneticPr fontId="1"/>
  </si>
  <si>
    <t>□-350x350x16</t>
    <phoneticPr fontId="1"/>
  </si>
  <si>
    <t>※スパンの1/20で決定</t>
    <rPh sb="10" eb="12">
      <t>ケッテイ</t>
    </rPh>
    <phoneticPr fontId="1"/>
  </si>
  <si>
    <t>I</t>
    <phoneticPr fontId="1"/>
  </si>
  <si>
    <t>φ</t>
    <phoneticPr fontId="1"/>
  </si>
  <si>
    <t>L</t>
    <phoneticPr fontId="1"/>
  </si>
  <si>
    <t>k</t>
    <phoneticPr fontId="1"/>
  </si>
  <si>
    <t>□-300x300x19or□-350x350x12</t>
    <phoneticPr fontId="1"/>
  </si>
  <si>
    <t>cMp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</si>
</sst>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.0"/>
    <numFmt numFmtId="177" formatCode="0_ "/>
    <numFmt numFmtId="178" formatCode="0.000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FF0000"/>
      <name val="游ゴシック"/>
      <family val="2"/>
      <charset val="128"/>
      <scheme val="minor"/>
    </font>
    <font>
      <sz val="11"/>
      <color rgb="FFFF0000"/>
      <name val="游ゴシック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</fills>
  <borders count="19">
    <border>
      <left/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63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2" fontId="0" fillId="0" borderId="5" xfId="0" applyNumberFormat="1" applyBorder="1">
      <alignment vertical="center"/>
    </xf>
    <xf numFmtId="2" fontId="0" fillId="0" borderId="4" xfId="0" applyNumberFormat="1" applyBorder="1">
      <alignment vertical="center"/>
    </xf>
    <xf numFmtId="1" fontId="0" fillId="0" borderId="5" xfId="0" applyNumberFormat="1" applyBorder="1">
      <alignment vertical="center"/>
    </xf>
    <xf numFmtId="1" fontId="0" fillId="0" borderId="4" xfId="0" applyNumberFormat="1" applyBorder="1">
      <alignment vertical="center"/>
    </xf>
    <xf numFmtId="2" fontId="0" fillId="0" borderId="3" xfId="0" applyNumberFormat="1" applyBorder="1">
      <alignment vertical="center"/>
    </xf>
    <xf numFmtId="1" fontId="0" fillId="0" borderId="3" xfId="0" applyNumberFormat="1" applyBorder="1">
      <alignment vertical="center"/>
    </xf>
    <xf numFmtId="1" fontId="0" fillId="0" borderId="11" xfId="0" applyNumberFormat="1" applyBorder="1">
      <alignment vertical="center"/>
    </xf>
    <xf numFmtId="1" fontId="0" fillId="0" borderId="0" xfId="0" applyNumberFormat="1">
      <alignment vertical="center"/>
    </xf>
    <xf numFmtId="2" fontId="0" fillId="0" borderId="2" xfId="0" applyNumberFormat="1" applyBorder="1">
      <alignment vertical="center"/>
    </xf>
    <xf numFmtId="0" fontId="0" fillId="0" borderId="12" xfId="0" applyBorder="1">
      <alignment vertical="center"/>
    </xf>
    <xf numFmtId="0" fontId="0" fillId="2" borderId="2" xfId="0" applyFill="1" applyBorder="1">
      <alignment vertical="center"/>
    </xf>
    <xf numFmtId="0" fontId="0" fillId="2" borderId="0" xfId="0" applyFill="1">
      <alignment vertical="center"/>
    </xf>
    <xf numFmtId="0" fontId="0" fillId="2" borderId="3" xfId="0" applyFill="1" applyBorder="1">
      <alignment vertical="center"/>
    </xf>
    <xf numFmtId="1" fontId="0" fillId="2" borderId="3" xfId="0" applyNumberFormat="1" applyFill="1" applyBorder="1">
      <alignment vertical="center"/>
    </xf>
    <xf numFmtId="1" fontId="0" fillId="3" borderId="5" xfId="0" applyNumberFormat="1" applyFill="1" applyBorder="1">
      <alignment vertical="center"/>
    </xf>
    <xf numFmtId="0" fontId="0" fillId="0" borderId="13" xfId="0" applyBorder="1">
      <alignment vertical="center"/>
    </xf>
    <xf numFmtId="176" fontId="0" fillId="0" borderId="0" xfId="0" applyNumberFormat="1">
      <alignment vertical="center"/>
    </xf>
    <xf numFmtId="0" fontId="0" fillId="0" borderId="14" xfId="0" applyBorder="1">
      <alignment vertical="center"/>
    </xf>
    <xf numFmtId="1" fontId="0" fillId="0" borderId="14" xfId="0" applyNumberFormat="1" applyBorder="1">
      <alignment vertical="center"/>
    </xf>
    <xf numFmtId="2" fontId="0" fillId="0" borderId="14" xfId="0" applyNumberFormat="1" applyBorder="1">
      <alignment vertical="center"/>
    </xf>
    <xf numFmtId="176" fontId="0" fillId="0" borderId="5" xfId="0" applyNumberFormat="1" applyBorder="1">
      <alignment vertical="center"/>
    </xf>
    <xf numFmtId="176" fontId="0" fillId="0" borderId="3" xfId="0" applyNumberFormat="1" applyBorder="1">
      <alignment vertical="center"/>
    </xf>
    <xf numFmtId="176" fontId="0" fillId="0" borderId="4" xfId="0" applyNumberFormat="1" applyBorder="1">
      <alignment vertical="center"/>
    </xf>
    <xf numFmtId="177" fontId="0" fillId="0" borderId="0" xfId="0" applyNumberFormat="1">
      <alignment vertical="center"/>
    </xf>
    <xf numFmtId="0" fontId="0" fillId="0" borderId="3" xfId="0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1" fontId="0" fillId="4" borderId="3" xfId="0" applyNumberFormat="1" applyFill="1" applyBorder="1">
      <alignment vertical="center"/>
    </xf>
    <xf numFmtId="0" fontId="0" fillId="5" borderId="3" xfId="0" applyFill="1" applyBorder="1" applyAlignment="1">
      <alignment horizontal="center" vertical="center"/>
    </xf>
    <xf numFmtId="1" fontId="0" fillId="5" borderId="3" xfId="0" applyNumberFormat="1" applyFill="1" applyBorder="1">
      <alignment vertical="center"/>
    </xf>
    <xf numFmtId="2" fontId="0" fillId="0" borderId="0" xfId="0" applyNumberFormat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1" fontId="3" fillId="0" borderId="0" xfId="0" applyNumberFormat="1" applyFont="1">
      <alignment vertical="center"/>
    </xf>
    <xf numFmtId="178" fontId="0" fillId="0" borderId="0" xfId="0" applyNumberFormat="1">
      <alignment vertical="center"/>
    </xf>
    <xf numFmtId="178" fontId="0" fillId="0" borderId="5" xfId="0" applyNumberFormat="1" applyBorder="1">
      <alignment vertical="center"/>
    </xf>
    <xf numFmtId="2" fontId="0" fillId="0" borderId="1" xfId="0" applyNumberFormat="1" applyBorder="1">
      <alignment vertical="center"/>
    </xf>
    <xf numFmtId="2" fontId="0" fillId="2" borderId="3" xfId="0" applyNumberFormat="1" applyFill="1" applyBorder="1">
      <alignment vertical="center"/>
    </xf>
    <xf numFmtId="2" fontId="0" fillId="6" borderId="3" xfId="0" applyNumberFormat="1" applyFill="1" applyBorder="1">
      <alignment vertical="center"/>
    </xf>
    <xf numFmtId="0" fontId="2" fillId="0" borderId="3" xfId="0" applyFont="1" applyBorder="1">
      <alignment vertical="center"/>
    </xf>
    <xf numFmtId="0" fontId="3" fillId="0" borderId="3" xfId="0" applyFont="1" applyBorder="1">
      <alignment vertical="center"/>
    </xf>
    <xf numFmtId="2" fontId="0" fillId="2" borderId="2" xfId="0" applyNumberFormat="1" applyFill="1" applyBorder="1">
      <alignment vertical="center"/>
    </xf>
    <xf numFmtId="0" fontId="0" fillId="5" borderId="3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0" xfId="0" applyAlignment="1">
      <alignment horizontal="center"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ja-JP" altLang="en-US"/>
              <a:t>変形　青：</a:t>
            </a:r>
            <a:r>
              <a:rPr lang="en-US" altLang="ja-JP"/>
              <a:t>X</a:t>
            </a:r>
            <a:r>
              <a:rPr lang="ja-JP" altLang="en-US"/>
              <a:t>　オレンジ：</a:t>
            </a:r>
            <a:r>
              <a:rPr lang="en-US" altLang="ja-JP"/>
              <a:t>Y</a:t>
            </a:r>
            <a:endParaRPr lang="ja-JP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基礎梁成と変形関係!$M$6:$W$6</c:f>
              <c:numCache>
                <c:formatCode>General</c:formatCode>
                <c:ptCount val="11"/>
                <c:pt idx="0">
                  <c:v>4.0796930321368042E-3</c:v>
                </c:pt>
                <c:pt idx="1">
                  <c:v>3.9559933630465604E-3</c:v>
                </c:pt>
                <c:pt idx="2">
                  <c:v>3.8766069613021333E-3</c:v>
                </c:pt>
                <c:pt idx="3">
                  <c:v>3.8262737831357492E-3</c:v>
                </c:pt>
                <c:pt idx="4">
                  <c:v>3.7938174631583065E-3</c:v>
                </c:pt>
                <c:pt idx="5">
                  <c:v>3.7723170167445028E-3</c:v>
                </c:pt>
                <c:pt idx="6">
                  <c:v>3.7576565448822824E-3</c:v>
                </c:pt>
                <c:pt idx="7">
                  <c:v>3.7473797005892905E-3</c:v>
                </c:pt>
                <c:pt idx="8">
                  <c:v>3.7399910676677831E-3</c:v>
                </c:pt>
                <c:pt idx="9">
                  <c:v>3.7345567656529221E-3</c:v>
                </c:pt>
                <c:pt idx="10">
                  <c:v>3.7304779512490182E-3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AA7-4170-9BB8-065BE363DE25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基礎梁成と変形関係!$M$7:$W$7</c:f>
              <c:numCache>
                <c:formatCode>General</c:formatCode>
                <c:ptCount val="11"/>
                <c:pt idx="0">
                  <c:v>4.3839998697971592E-3</c:v>
                </c:pt>
                <c:pt idx="1">
                  <c:v>4.1981401289281645E-3</c:v>
                </c:pt>
                <c:pt idx="2">
                  <c:v>4.102101010101035E-3</c:v>
                </c:pt>
                <c:pt idx="3">
                  <c:v>4.048433253905576E-3</c:v>
                </c:pt>
                <c:pt idx="4">
                  <c:v>4.016370343182518E-3</c:v>
                </c:pt>
                <c:pt idx="5">
                  <c:v>3.9961286818583049E-3</c:v>
                </c:pt>
                <c:pt idx="6">
                  <c:v>3.9827556981278179E-3</c:v>
                </c:pt>
                <c:pt idx="7">
                  <c:v>3.9735806042189414E-3</c:v>
                </c:pt>
                <c:pt idx="8">
                  <c:v>3.9670827719931363E-3</c:v>
                </c:pt>
                <c:pt idx="9">
                  <c:v>3.9623553078599032E-3</c:v>
                </c:pt>
                <c:pt idx="10">
                  <c:v>3.9588353793537125E-3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AA7-4170-9BB8-065BE363DE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6839016"/>
        <c:axId val="886839344"/>
      </c:scatterChart>
      <c:valAx>
        <c:axId val="886839016"/>
        <c:scaling>
          <c:orientation val="minMax"/>
          <c:min val="3.0000000000000009E-3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6839344"/>
        <c:crosses val="autoZero"/>
        <c:crossBetween val="midCat"/>
      </c:valAx>
      <c:valAx>
        <c:axId val="886839344"/>
        <c:scaling>
          <c:orientation val="minMax"/>
          <c:max val="3000"/>
          <c:min val="9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68390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ja-JP" altLang="en-US"/>
              <a:t>反曲点　青：</a:t>
            </a:r>
            <a:r>
              <a:rPr lang="en-US" altLang="ja-JP"/>
              <a:t>X</a:t>
            </a:r>
            <a:r>
              <a:rPr lang="ja-JP" altLang="en-US"/>
              <a:t>　オレンジ：</a:t>
            </a:r>
            <a:r>
              <a:rPr lang="en-US" altLang="ja-JP"/>
              <a:t>Y</a:t>
            </a:r>
            <a:endParaRPr lang="ja-JP" altLang="en-US"/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2"/>
          <c:order val="0"/>
          <c:spPr>
            <a:ln>
              <a:solidFill>
                <a:srgbClr val="00B0F0"/>
              </a:solidFill>
            </a:ln>
          </c:spPr>
          <c:marker>
            <c:spPr>
              <a:ln>
                <a:solidFill>
                  <a:srgbClr val="00B0F0"/>
                </a:solidFill>
              </a:ln>
            </c:spPr>
          </c:marker>
          <c:xVal>
            <c:numRef>
              <c:f>基礎梁成と変形関係!$M$11:$W$11</c:f>
              <c:numCache>
                <c:formatCode>General</c:formatCode>
                <c:ptCount val="11"/>
                <c:pt idx="0">
                  <c:v>0.5</c:v>
                </c:pt>
                <c:pt idx="1">
                  <c:v>0.5</c:v>
                </c:pt>
                <c:pt idx="2" formatCode="0.00">
                  <c:v>0.5</c:v>
                </c:pt>
                <c:pt idx="3" formatCode="0.00">
                  <c:v>0.5</c:v>
                </c:pt>
                <c:pt idx="4" formatCode="0.00">
                  <c:v>0.55000000000000004</c:v>
                </c:pt>
                <c:pt idx="5" formatCode="0.00">
                  <c:v>0.55000000000000004</c:v>
                </c:pt>
                <c:pt idx="6" formatCode="0.00">
                  <c:v>0.55000000000000004</c:v>
                </c:pt>
                <c:pt idx="7" formatCode="0.00">
                  <c:v>0.55000000000000004</c:v>
                </c:pt>
                <c:pt idx="8">
                  <c:v>0.55000000000000004</c:v>
                </c:pt>
                <c:pt idx="9">
                  <c:v>0.55000000000000004</c:v>
                </c:pt>
                <c:pt idx="10">
                  <c:v>0.55000000000000004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D856-4564-91A8-3105C6F561C7}"/>
            </c:ext>
          </c:extLst>
        </c:ser>
        <c:ser>
          <c:idx val="3"/>
          <c:order val="1"/>
          <c:xVal>
            <c:numRef>
              <c:f>基礎梁成と変形関係!$M$12:$W$12</c:f>
              <c:numCache>
                <c:formatCode>General</c:formatCode>
                <c:ptCount val="11"/>
                <c:pt idx="0">
                  <c:v>0.65</c:v>
                </c:pt>
                <c:pt idx="1">
                  <c:v>0.65</c:v>
                </c:pt>
                <c:pt idx="2" formatCode="0.00">
                  <c:v>0.65</c:v>
                </c:pt>
                <c:pt idx="3" formatCode="0.00">
                  <c:v>0.65</c:v>
                </c:pt>
                <c:pt idx="4" formatCode="0.00">
                  <c:v>0.65</c:v>
                </c:pt>
                <c:pt idx="5" formatCode="0.00">
                  <c:v>0.65</c:v>
                </c:pt>
                <c:pt idx="6" formatCode="0.00">
                  <c:v>0.65</c:v>
                </c:pt>
                <c:pt idx="7" formatCode="0.00">
                  <c:v>0.65</c:v>
                </c:pt>
                <c:pt idx="8">
                  <c:v>0.65</c:v>
                </c:pt>
                <c:pt idx="9">
                  <c:v>0.65</c:v>
                </c:pt>
                <c:pt idx="10">
                  <c:v>0.65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D856-4564-91A8-3105C6F561C7}"/>
            </c:ext>
          </c:extLst>
        </c:ser>
        <c:ser>
          <c:idx val="0"/>
          <c:order val="2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基礎梁成と変形関係!$M$10:$W$10</c:f>
              <c:numCache>
                <c:formatCode>General</c:formatCode>
                <c:ptCount val="11"/>
                <c:pt idx="0">
                  <c:v>0.5</c:v>
                </c:pt>
                <c:pt idx="1">
                  <c:v>0.5</c:v>
                </c:pt>
                <c:pt idx="2" formatCode="0.00">
                  <c:v>0.5</c:v>
                </c:pt>
                <c:pt idx="3" formatCode="0.00">
                  <c:v>0.5</c:v>
                </c:pt>
                <c:pt idx="4" formatCode="0.00">
                  <c:v>0.5</c:v>
                </c:pt>
                <c:pt idx="5" formatCode="0.00">
                  <c:v>0.5</c:v>
                </c:pt>
                <c:pt idx="6" formatCode="0.00">
                  <c:v>0.5</c:v>
                </c:pt>
                <c:pt idx="7" formatCode="0.00">
                  <c:v>0.55000000000000004</c:v>
                </c:pt>
                <c:pt idx="8">
                  <c:v>0.55000000000000004</c:v>
                </c:pt>
                <c:pt idx="9">
                  <c:v>0.55000000000000004</c:v>
                </c:pt>
                <c:pt idx="10">
                  <c:v>0.55000000000000004</c:v>
                </c:pt>
              </c:numCache>
            </c:numRef>
          </c:xVal>
          <c:yVal>
            <c:numRef>
              <c:f>基礎梁成と変形関係!$M$9:$W$9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856-4564-91A8-3105C6F561C7}"/>
            </c:ext>
          </c:extLst>
        </c:ser>
        <c:ser>
          <c:idx val="1"/>
          <c:order val="3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基礎梁成と変形関係!$M$13:$W$13</c:f>
              <c:numCache>
                <c:formatCode>0.00</c:formatCode>
                <c:ptCount val="11"/>
                <c:pt idx="0" formatCode="0.000">
                  <c:v>0.6</c:v>
                </c:pt>
                <c:pt idx="1">
                  <c:v>0.6</c:v>
                </c:pt>
                <c:pt idx="2">
                  <c:v>0.6</c:v>
                </c:pt>
                <c:pt idx="3">
                  <c:v>0.6</c:v>
                </c:pt>
                <c:pt idx="4">
                  <c:v>0.6</c:v>
                </c:pt>
                <c:pt idx="5">
                  <c:v>0.6</c:v>
                </c:pt>
                <c:pt idx="6">
                  <c:v>0.6</c:v>
                </c:pt>
                <c:pt idx="7">
                  <c:v>0.6</c:v>
                </c:pt>
                <c:pt idx="8">
                  <c:v>0.6</c:v>
                </c:pt>
                <c:pt idx="9">
                  <c:v>0.6</c:v>
                </c:pt>
                <c:pt idx="10">
                  <c:v>0.6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856-4564-91A8-3105C6F561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6839016"/>
        <c:axId val="886839344"/>
      </c:scatterChart>
      <c:valAx>
        <c:axId val="886839016"/>
        <c:scaling>
          <c:orientation val="minMax"/>
          <c:max val="0.65000000000000013"/>
          <c:min val="0.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6839344"/>
        <c:crosses val="autoZero"/>
        <c:crossBetween val="midCat"/>
        <c:majorUnit val="5.000000000000001E-2"/>
      </c:valAx>
      <c:valAx>
        <c:axId val="886839344"/>
        <c:scaling>
          <c:orientation val="minMax"/>
          <c:max val="3000"/>
          <c:min val="9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6839016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ja-JP" altLang="en-US"/>
              <a:t>反曲点　青：</a:t>
            </a:r>
            <a:r>
              <a:rPr lang="en-US" altLang="ja-JP"/>
              <a:t>X</a:t>
            </a:r>
            <a:r>
              <a:rPr lang="ja-JP" altLang="en-US"/>
              <a:t>　オレンジ：</a:t>
            </a:r>
            <a:r>
              <a:rPr lang="en-US" altLang="ja-JP"/>
              <a:t>Y</a:t>
            </a:r>
            <a:endParaRPr lang="ja-JP" altLang="en-US"/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2"/>
          <c:order val="0"/>
          <c:spPr>
            <a:ln>
              <a:solidFill>
                <a:srgbClr val="00B0F0"/>
              </a:solidFill>
            </a:ln>
          </c:spPr>
          <c:marker>
            <c:spPr>
              <a:ln>
                <a:solidFill>
                  <a:srgbClr val="00B0F0"/>
                </a:solidFill>
              </a:ln>
            </c:spPr>
          </c:marker>
          <c:xVal>
            <c:numRef>
              <c:f>基礎梁成と変形関係!$Z$11:$AJ$11</c:f>
              <c:numCache>
                <c:formatCode>0.00</c:formatCode>
                <c:ptCount val="11"/>
                <c:pt idx="0">
                  <c:v>0.65</c:v>
                </c:pt>
                <c:pt idx="1">
                  <c:v>0.75</c:v>
                </c:pt>
                <c:pt idx="2">
                  <c:v>0.7</c:v>
                </c:pt>
                <c:pt idx="3">
                  <c:v>0.75</c:v>
                </c:pt>
                <c:pt idx="4">
                  <c:v>0.8</c:v>
                </c:pt>
                <c:pt idx="5">
                  <c:v>0.8</c:v>
                </c:pt>
                <c:pt idx="6">
                  <c:v>0.8</c:v>
                </c:pt>
                <c:pt idx="7">
                  <c:v>0.8</c:v>
                </c:pt>
                <c:pt idx="8">
                  <c:v>0.8</c:v>
                </c:pt>
                <c:pt idx="9">
                  <c:v>0.8</c:v>
                </c:pt>
                <c:pt idx="10">
                  <c:v>0.8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8D1-424F-9193-0F6C95388F5D}"/>
            </c:ext>
          </c:extLst>
        </c:ser>
        <c:ser>
          <c:idx val="3"/>
          <c:order val="1"/>
          <c:xVal>
            <c:numRef>
              <c:f>基礎梁成と変形関係!$Z$12:$AJ$12</c:f>
              <c:numCache>
                <c:formatCode>0.00</c:formatCode>
                <c:ptCount val="11"/>
                <c:pt idx="0">
                  <c:v>1</c:v>
                </c:pt>
                <c:pt idx="1">
                  <c:v>0.9</c:v>
                </c:pt>
                <c:pt idx="2">
                  <c:v>0.8</c:v>
                </c:pt>
                <c:pt idx="3">
                  <c:v>0.8</c:v>
                </c:pt>
                <c:pt idx="4">
                  <c:v>0.8</c:v>
                </c:pt>
                <c:pt idx="5">
                  <c:v>0.8</c:v>
                </c:pt>
                <c:pt idx="6">
                  <c:v>0.8</c:v>
                </c:pt>
                <c:pt idx="7">
                  <c:v>0.8</c:v>
                </c:pt>
                <c:pt idx="8">
                  <c:v>0.8</c:v>
                </c:pt>
                <c:pt idx="9">
                  <c:v>0.8</c:v>
                </c:pt>
                <c:pt idx="10">
                  <c:v>0.8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8D1-424F-9193-0F6C95388F5D}"/>
            </c:ext>
          </c:extLst>
        </c:ser>
        <c:ser>
          <c:idx val="0"/>
          <c:order val="2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基礎梁成と変形関係!$Z$10:$AJ$10</c:f>
              <c:numCache>
                <c:formatCode>0.00</c:formatCode>
                <c:ptCount val="11"/>
                <c:pt idx="0">
                  <c:v>0.6</c:v>
                </c:pt>
                <c:pt idx="1">
                  <c:v>0.7</c:v>
                </c:pt>
                <c:pt idx="2">
                  <c:v>0.65</c:v>
                </c:pt>
                <c:pt idx="3">
                  <c:v>0.7</c:v>
                </c:pt>
                <c:pt idx="4">
                  <c:v>0.75</c:v>
                </c:pt>
                <c:pt idx="5">
                  <c:v>0.75</c:v>
                </c:pt>
                <c:pt idx="6">
                  <c:v>0.8</c:v>
                </c:pt>
                <c:pt idx="7">
                  <c:v>0.8</c:v>
                </c:pt>
                <c:pt idx="8">
                  <c:v>0.8</c:v>
                </c:pt>
                <c:pt idx="9">
                  <c:v>0.8</c:v>
                </c:pt>
                <c:pt idx="10">
                  <c:v>0.8</c:v>
                </c:pt>
              </c:numCache>
            </c:numRef>
          </c:xVal>
          <c:yVal>
            <c:numRef>
              <c:f>基礎梁成と変形関係!$M$9:$W$9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8D1-424F-9193-0F6C95388F5D}"/>
            </c:ext>
          </c:extLst>
        </c:ser>
        <c:ser>
          <c:idx val="1"/>
          <c:order val="3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基礎梁成と変形関係!$Z$13:$AJ$13</c:f>
              <c:numCache>
                <c:formatCode>0.00</c:formatCode>
                <c:ptCount val="11"/>
                <c:pt idx="0">
                  <c:v>0.8</c:v>
                </c:pt>
                <c:pt idx="1">
                  <c:v>0.8</c:v>
                </c:pt>
                <c:pt idx="2">
                  <c:v>0.65</c:v>
                </c:pt>
                <c:pt idx="3">
                  <c:v>0.65</c:v>
                </c:pt>
                <c:pt idx="4">
                  <c:v>0.65</c:v>
                </c:pt>
                <c:pt idx="5">
                  <c:v>0.65</c:v>
                </c:pt>
                <c:pt idx="6">
                  <c:v>0.65</c:v>
                </c:pt>
                <c:pt idx="7">
                  <c:v>0.6</c:v>
                </c:pt>
                <c:pt idx="8">
                  <c:v>0.6</c:v>
                </c:pt>
                <c:pt idx="9">
                  <c:v>0.6</c:v>
                </c:pt>
                <c:pt idx="10">
                  <c:v>0.6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8D1-424F-9193-0F6C95388F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6839016"/>
        <c:axId val="886839344"/>
      </c:scatterChart>
      <c:valAx>
        <c:axId val="886839016"/>
        <c:scaling>
          <c:orientation val="minMax"/>
          <c:max val="1"/>
          <c:min val="0.60000000000000009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6839344"/>
        <c:crosses val="autoZero"/>
        <c:crossBetween val="midCat"/>
        <c:majorUnit val="5.000000000000001E-2"/>
      </c:valAx>
      <c:valAx>
        <c:axId val="886839344"/>
        <c:scaling>
          <c:orientation val="minMax"/>
          <c:max val="3000"/>
          <c:min val="9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6839016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ja-JP" altLang="en-US"/>
              <a:t>変形　青：</a:t>
            </a:r>
            <a:r>
              <a:rPr lang="en-US" altLang="ja-JP"/>
              <a:t>X</a:t>
            </a:r>
            <a:r>
              <a:rPr lang="ja-JP" altLang="en-US"/>
              <a:t>　オレンジ：</a:t>
            </a:r>
            <a:r>
              <a:rPr lang="en-US" altLang="ja-JP"/>
              <a:t>Y</a:t>
            </a:r>
            <a:endParaRPr lang="ja-JP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8.9331110982008174E-2"/>
          <c:y val="0.22421296296296298"/>
          <c:w val="0.82717094943416181"/>
          <c:h val="0.69153579760863226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基礎梁成と変形関係!$Z$6:$AJ$6</c:f>
              <c:numCache>
                <c:formatCode>General</c:formatCode>
                <c:ptCount val="11"/>
                <c:pt idx="0">
                  <c:v>1.8032559017734442E-3</c:v>
                </c:pt>
                <c:pt idx="1">
                  <c:v>1.514144586242004E-3</c:v>
                </c:pt>
                <c:pt idx="2">
                  <c:v>1.2935716088842866E-3</c:v>
                </c:pt>
                <c:pt idx="3">
                  <c:v>1.1360302674742456E-3</c:v>
                </c:pt>
                <c:pt idx="4">
                  <c:v>1.0259730429761208E-3</c:v>
                </c:pt>
                <c:pt idx="5">
                  <c:v>9.4901716559210982E-4</c:v>
                </c:pt>
                <c:pt idx="6">
                  <c:v>8.9456025962161856E-4</c:v>
                </c:pt>
                <c:pt idx="7">
                  <c:v>8.55380789836469E-4</c:v>
                </c:pt>
                <c:pt idx="8">
                  <c:v>8.2668248704827836E-4</c:v>
                </c:pt>
                <c:pt idx="9">
                  <c:v>8.0528515035185584E-4</c:v>
                </c:pt>
                <c:pt idx="10">
                  <c:v>7.8906063779460279E-4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701-404E-A2D1-E9787EE5090E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基礎梁成と変形関係!$Z$7:$AJ$7</c:f>
              <c:numCache>
                <c:formatCode>General</c:formatCode>
                <c:ptCount val="11"/>
                <c:pt idx="0">
                  <c:v>1.351269769978842E-3</c:v>
                </c:pt>
                <c:pt idx="1">
                  <c:v>1.0507891052430707E-3</c:v>
                </c:pt>
                <c:pt idx="2">
                  <c:v>8.9175546927189211E-4</c:v>
                </c:pt>
                <c:pt idx="3">
                  <c:v>8.0160727077720261E-4</c:v>
                </c:pt>
                <c:pt idx="4">
                  <c:v>7.4725658094653509E-4</c:v>
                </c:pt>
                <c:pt idx="5">
                  <c:v>7.1273527686504861E-4</c:v>
                </c:pt>
                <c:pt idx="6">
                  <c:v>6.8983269560922292E-4</c:v>
                </c:pt>
                <c:pt idx="7">
                  <c:v>6.7407301295501875E-4</c:v>
                </c:pt>
                <c:pt idx="8">
                  <c:v>6.6288816865670409E-4</c:v>
                </c:pt>
                <c:pt idx="9">
                  <c:v>6.5473792151816577E-4</c:v>
                </c:pt>
                <c:pt idx="10">
                  <c:v>6.4866234402393764E-4</c:v>
                </c:pt>
              </c:numCache>
            </c:numRef>
          </c:xVal>
          <c:yVal>
            <c:numRef>
              <c:f>基礎梁成と変形関係!$M$5:$W$5</c:f>
              <c:numCache>
                <c:formatCode>General</c:formatCode>
                <c:ptCount val="11"/>
                <c:pt idx="0">
                  <c:v>900</c:v>
                </c:pt>
                <c:pt idx="1">
                  <c:v>1100</c:v>
                </c:pt>
                <c:pt idx="2">
                  <c:v>1300</c:v>
                </c:pt>
                <c:pt idx="3">
                  <c:v>1500</c:v>
                </c:pt>
                <c:pt idx="4">
                  <c:v>1700</c:v>
                </c:pt>
                <c:pt idx="5">
                  <c:v>1900</c:v>
                </c:pt>
                <c:pt idx="6">
                  <c:v>2100</c:v>
                </c:pt>
                <c:pt idx="7">
                  <c:v>2300</c:v>
                </c:pt>
                <c:pt idx="8">
                  <c:v>2500</c:v>
                </c:pt>
                <c:pt idx="9">
                  <c:v>2700</c:v>
                </c:pt>
                <c:pt idx="10">
                  <c:v>2900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701-404E-A2D1-E9787EE509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6839016"/>
        <c:axId val="886839344"/>
      </c:scatterChart>
      <c:valAx>
        <c:axId val="8868390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6839344"/>
        <c:crosses val="autoZero"/>
        <c:crossBetween val="midCat"/>
      </c:valAx>
      <c:valAx>
        <c:axId val="886839344"/>
        <c:scaling>
          <c:orientation val="minMax"/>
          <c:max val="3000"/>
          <c:min val="9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68390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ja-JP" altLang="en-US"/>
              <a:t>短期</a:t>
            </a:r>
            <a:r>
              <a:rPr lang="en-US" altLang="ja-JP"/>
              <a:t>X</a:t>
            </a:r>
            <a:endParaRPr lang="ja-JP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応力まとめ!$AE$21:$AE$29</c:f>
              <c:numCache>
                <c:formatCode>0</c:formatCode>
                <c:ptCount val="9"/>
                <c:pt idx="0">
                  <c:v>280.13230558832493</c:v>
                </c:pt>
                <c:pt idx="1">
                  <c:v>338.84234267306147</c:v>
                </c:pt>
                <c:pt idx="2">
                  <c:v>280.13230558832493</c:v>
                </c:pt>
                <c:pt idx="3">
                  <c:v>306.13978073824177</c:v>
                </c:pt>
                <c:pt idx="4">
                  <c:v>371.10248028769263</c:v>
                </c:pt>
                <c:pt idx="5">
                  <c:v>306.13978073824177</c:v>
                </c:pt>
                <c:pt idx="6">
                  <c:v>331.87457691801205</c:v>
                </c:pt>
                <c:pt idx="7">
                  <c:v>379.5201231015771</c:v>
                </c:pt>
                <c:pt idx="8">
                  <c:v>331.87457691801205</c:v>
                </c:pt>
              </c:numCache>
            </c:numRef>
          </c:xVal>
          <c:yVal>
            <c:numRef>
              <c:f>応力まとめ!$AG$21:$AG$29</c:f>
              <c:numCache>
                <c:formatCode>0</c:formatCode>
                <c:ptCount val="9"/>
                <c:pt idx="0">
                  <c:v>168.27096269569046</c:v>
                </c:pt>
                <c:pt idx="1">
                  <c:v>320.59754811385227</c:v>
                </c:pt>
                <c:pt idx="2">
                  <c:v>320.77096269569046</c:v>
                </c:pt>
                <c:pt idx="3">
                  <c:v>359.87799282224739</c:v>
                </c:pt>
                <c:pt idx="4">
                  <c:v>666.31823228269559</c:v>
                </c:pt>
                <c:pt idx="5">
                  <c:v>663.87799282224739</c:v>
                </c:pt>
                <c:pt idx="6">
                  <c:v>574.52909391580783</c:v>
                </c:pt>
                <c:pt idx="7">
                  <c:v>1036.9857969344664</c:v>
                </c:pt>
                <c:pt idx="8">
                  <c:v>1031.0290939158078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93A-456F-B8D2-A91912A5B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8296864"/>
        <c:axId val="828298504"/>
      </c:scatterChart>
      <c:valAx>
        <c:axId val="828296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8504"/>
        <c:crosses val="autoZero"/>
        <c:crossBetween val="midCat"/>
      </c:valAx>
      <c:valAx>
        <c:axId val="828298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68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ja-JP" altLang="en-US"/>
              <a:t>短期</a:t>
            </a:r>
            <a:r>
              <a:rPr lang="en-US" altLang="ja-JP"/>
              <a:t>Y</a:t>
            </a:r>
            <a:endParaRPr lang="ja-JP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応力まとめ!$AH$21:$AH$29</c:f>
              <c:numCache>
                <c:formatCode>0</c:formatCode>
                <c:ptCount val="9"/>
                <c:pt idx="0">
                  <c:v>133.28554553004426</c:v>
                </c:pt>
                <c:pt idx="1">
                  <c:v>174.38999132451568</c:v>
                </c:pt>
                <c:pt idx="2">
                  <c:v>171.4482678182606</c:v>
                </c:pt>
                <c:pt idx="3">
                  <c:v>179.00261925235071</c:v>
                </c:pt>
                <c:pt idx="4">
                  <c:v>246.15408851796815</c:v>
                </c:pt>
                <c:pt idx="5">
                  <c:v>244.26570082286187</c:v>
                </c:pt>
                <c:pt idx="6">
                  <c:v>294.04425649022397</c:v>
                </c:pt>
                <c:pt idx="7">
                  <c:v>356.07830682918558</c:v>
                </c:pt>
                <c:pt idx="8">
                  <c:v>354.55048530377212</c:v>
                </c:pt>
              </c:numCache>
            </c:numRef>
          </c:xVal>
          <c:yVal>
            <c:numRef>
              <c:f>応力まとめ!$AJ$21:$AJ$29</c:f>
              <c:numCache>
                <c:formatCode>0</c:formatCode>
                <c:ptCount val="9"/>
                <c:pt idx="0">
                  <c:v>184.74733066302008</c:v>
                </c:pt>
                <c:pt idx="1">
                  <c:v>305.21985921325535</c:v>
                </c:pt>
                <c:pt idx="2">
                  <c:v>302</c:v>
                </c:pt>
                <c:pt idx="3">
                  <c:v>410.28468744019187</c:v>
                </c:pt>
                <c:pt idx="4">
                  <c:v>613.56286106377115</c:v>
                </c:pt>
                <c:pt idx="5">
                  <c:v>602.5</c:v>
                </c:pt>
                <c:pt idx="6">
                  <c:v>651.69497207090751</c:v>
                </c:pt>
                <c:pt idx="7">
                  <c:v>921.79446165272759</c:v>
                </c:pt>
                <c:pt idx="8">
                  <c:v>905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68-4E16-A370-94A06BC190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8296864"/>
        <c:axId val="828298504"/>
      </c:scatterChart>
      <c:valAx>
        <c:axId val="828296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8504"/>
        <c:crosses val="autoZero"/>
        <c:crossBetween val="midCat"/>
      </c:valAx>
      <c:valAx>
        <c:axId val="828298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68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ja-JP" altLang="en-US"/>
              <a:t>長期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応力まとめ!$Z$21:$Z$29</c:f>
              <c:numCache>
                <c:formatCode>0</c:formatCode>
                <c:ptCount val="9"/>
                <c:pt idx="0">
                  <c:v>153.61601701937127</c:v>
                </c:pt>
                <c:pt idx="1">
                  <c:v>200.01486838569724</c:v>
                </c:pt>
                <c:pt idx="2">
                  <c:v>153.61601701937127</c:v>
                </c:pt>
                <c:pt idx="3">
                  <c:v>122.48172469621025</c:v>
                </c:pt>
                <c:pt idx="4">
                  <c:v>169.79118431571368</c:v>
                </c:pt>
                <c:pt idx="5">
                  <c:v>122.48172469621025</c:v>
                </c:pt>
                <c:pt idx="6">
                  <c:v>79.784211589445803</c:v>
                </c:pt>
                <c:pt idx="7">
                  <c:v>111.27203332062129</c:v>
                </c:pt>
                <c:pt idx="8">
                  <c:v>79.784211589445803</c:v>
                </c:pt>
              </c:numCache>
            </c:numRef>
          </c:xVal>
          <c:yVal>
            <c:numRef>
              <c:f>応力まとめ!$AD$21:$AD$29</c:f>
              <c:numCache>
                <c:formatCode>0</c:formatCode>
                <c:ptCount val="9"/>
                <c:pt idx="0">
                  <c:v>149.5</c:v>
                </c:pt>
                <c:pt idx="1">
                  <c:v>300</c:v>
                </c:pt>
                <c:pt idx="2">
                  <c:v>302</c:v>
                </c:pt>
                <c:pt idx="3">
                  <c:v>298.5</c:v>
                </c:pt>
                <c:pt idx="4">
                  <c:v>599</c:v>
                </c:pt>
                <c:pt idx="5">
                  <c:v>602.5</c:v>
                </c:pt>
                <c:pt idx="6">
                  <c:v>448.5</c:v>
                </c:pt>
                <c:pt idx="7">
                  <c:v>900</c:v>
                </c:pt>
                <c:pt idx="8">
                  <c:v>905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052-4AB0-98B3-0272FAEB2F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8296864"/>
        <c:axId val="828298504"/>
      </c:scatterChart>
      <c:valAx>
        <c:axId val="828296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8504"/>
        <c:crosses val="autoZero"/>
        <c:crossBetween val="midCat"/>
      </c:valAx>
      <c:valAx>
        <c:axId val="828298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68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ja-JP" altLang="en-US"/>
              <a:t>長期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応力まとめ!$Q$5:$Q$16</c:f>
              <c:numCache>
                <c:formatCode>0</c:formatCode>
                <c:ptCount val="12"/>
                <c:pt idx="0">
                  <c:v>533.98513161430276</c:v>
                </c:pt>
                <c:pt idx="1">
                  <c:v>342.38398298062879</c:v>
                </c:pt>
                <c:pt idx="2">
                  <c:v>41.969897380266588</c:v>
                </c:pt>
                <c:pt idx="3">
                  <c:v>39.308219503983835</c:v>
                </c:pt>
                <c:pt idx="4">
                  <c:v>439.88267617591009</c:v>
                </c:pt>
                <c:pt idx="5">
                  <c:v>259.47369329953909</c:v>
                </c:pt>
                <c:pt idx="6">
                  <c:v>38.615854331630281</c:v>
                </c:pt>
                <c:pt idx="7">
                  <c:v>36.271304211686029</c:v>
                </c:pt>
                <c:pt idx="8">
                  <c:v>482.93678236366503</c:v>
                </c:pt>
                <c:pt idx="9">
                  <c:v>293.73406371434402</c:v>
                </c:pt>
                <c:pt idx="10">
                  <c:v>39.411503050685837</c:v>
                </c:pt>
                <c:pt idx="11">
                  <c:v>36.874611979821012</c:v>
                </c:pt>
              </c:numCache>
            </c:numRef>
          </c:xVal>
          <c:yVal>
            <c:numRef>
              <c:f>応力まとめ!$R$5:$R$16</c:f>
              <c:numCache>
                <c:formatCode>0</c:formatCode>
                <c:ptCount val="12"/>
                <c:pt idx="0">
                  <c:v>147</c:v>
                </c:pt>
                <c:pt idx="1">
                  <c:v>218</c:v>
                </c:pt>
                <c:pt idx="2">
                  <c:v>41.755968420398233</c:v>
                </c:pt>
                <c:pt idx="3">
                  <c:v>39.451811867056563</c:v>
                </c:pt>
                <c:pt idx="4">
                  <c:v>146</c:v>
                </c:pt>
                <c:pt idx="5">
                  <c:v>228</c:v>
                </c:pt>
                <c:pt idx="6">
                  <c:v>38.43342416577066</c:v>
                </c:pt>
                <c:pt idx="7">
                  <c:v>37.205491746009834</c:v>
                </c:pt>
                <c:pt idx="8">
                  <c:v>147</c:v>
                </c:pt>
                <c:pt idx="9">
                  <c:v>228</c:v>
                </c:pt>
                <c:pt idx="10">
                  <c:v>39.610742846894183</c:v>
                </c:pt>
                <c:pt idx="11">
                  <c:v>37.725415308832403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B51-4FFA-BFE3-28DA9E90CF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8296864"/>
        <c:axId val="828298504"/>
      </c:scatterChart>
      <c:valAx>
        <c:axId val="828296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8504"/>
        <c:crosses val="autoZero"/>
        <c:crossBetween val="midCat"/>
      </c:valAx>
      <c:valAx>
        <c:axId val="828298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68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ja-JP" altLang="en-US"/>
              <a:t>短期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8.4873877837830736E-2"/>
          <c:y val="0.21555246053853297"/>
          <c:w val="0.87108942491446284"/>
          <c:h val="0.69067656584709636"/>
        </c:manualLayout>
      </c:layout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応力まとめ!$S$5:$S$16</c:f>
              <c:numCache>
                <c:formatCode>0</c:formatCode>
                <c:ptCount val="12"/>
                <c:pt idx="0">
                  <c:v>533.98513161430276</c:v>
                </c:pt>
                <c:pt idx="1">
                  <c:v>342.38398298062879</c:v>
                </c:pt>
                <c:pt idx="2">
                  <c:v>128.26553227887609</c:v>
                </c:pt>
                <c:pt idx="3">
                  <c:v>122.45680057579698</c:v>
                </c:pt>
                <c:pt idx="4">
                  <c:v>639.01473512209418</c:v>
                </c:pt>
                <c:pt idx="5">
                  <c:v>518.6976897534546</c:v>
                </c:pt>
                <c:pt idx="6">
                  <c:v>231.85026846492369</c:v>
                </c:pt>
                <c:pt idx="7">
                  <c:v>226.80575434940849</c:v>
                </c:pt>
                <c:pt idx="8">
                  <c:v>750.62260338926967</c:v>
                </c:pt>
                <c:pt idx="9">
                  <c:v>638.01435765625365</c:v>
                </c:pt>
                <c:pt idx="10">
                  <c:v>281.33306724223644</c:v>
                </c:pt>
                <c:pt idx="11">
                  <c:v>275.90589520786898</c:v>
                </c:pt>
              </c:numCache>
            </c:numRef>
          </c:xVal>
          <c:yVal>
            <c:numRef>
              <c:f>応力まとめ!$T$5:$T$16</c:f>
              <c:numCache>
                <c:formatCode>0</c:formatCode>
                <c:ptCount val="12"/>
                <c:pt idx="0">
                  <c:v>167.59754811385227</c:v>
                </c:pt>
                <c:pt idx="1">
                  <c:v>236.77096269569046</c:v>
                </c:pt>
                <c:pt idx="2">
                  <c:v>77.003299083418312</c:v>
                </c:pt>
                <c:pt idx="3">
                  <c:v>69.479283316821295</c:v>
                </c:pt>
                <c:pt idx="4">
                  <c:v>192.72068416884338</c:v>
                </c:pt>
                <c:pt idx="5">
                  <c:v>270.60703012655694</c:v>
                </c:pt>
                <c:pt idx="6">
                  <c:v>114.97078094294248</c:v>
                </c:pt>
                <c:pt idx="7">
                  <c:v>104.3998466726658</c:v>
                </c:pt>
                <c:pt idx="8">
                  <c:v>216.66756465177073</c:v>
                </c:pt>
                <c:pt idx="9">
                  <c:v>292.6511010935605</c:v>
                </c:pt>
                <c:pt idx="10">
                  <c:v>131.02102747760983</c:v>
                </c:pt>
                <c:pt idx="11">
                  <c:v>121.90409935059165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AD1-4B81-A23A-5EDA2DB6EB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8296864"/>
        <c:axId val="828298504"/>
      </c:scatterChart>
      <c:valAx>
        <c:axId val="828296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8504"/>
        <c:crosses val="autoZero"/>
        <c:crossBetween val="midCat"/>
      </c:valAx>
      <c:valAx>
        <c:axId val="828298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282968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image" Target="../media/image1.png"/><Relationship Id="rId6" Type="http://schemas.openxmlformats.org/officeDocument/2006/relationships/chart" Target="../charts/chart9.xml"/><Relationship Id="rId5" Type="http://schemas.openxmlformats.org/officeDocument/2006/relationships/chart" Target="../charts/chart8.xml"/><Relationship Id="rId4" Type="http://schemas.openxmlformats.org/officeDocument/2006/relationships/chart" Target="../charts/chart7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408607</xdr:colOff>
      <xdr:row>19</xdr:row>
      <xdr:rowOff>21996</xdr:rowOff>
    </xdr:from>
    <xdr:to>
      <xdr:col>16</xdr:col>
      <xdr:colOff>649942</xdr:colOff>
      <xdr:row>31</xdr:row>
      <xdr:rowOff>21996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5AADE782-AA41-5F1D-A09A-0C47A50C8E9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414618</xdr:colOff>
      <xdr:row>19</xdr:row>
      <xdr:rowOff>11206</xdr:rowOff>
    </xdr:from>
    <xdr:to>
      <xdr:col>23</xdr:col>
      <xdr:colOff>342188</xdr:colOff>
      <xdr:row>31</xdr:row>
      <xdr:rowOff>11206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FAB01FA5-8F4A-4A9D-8DE6-D3C26C1768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32</xdr:col>
      <xdr:colOff>456458</xdr:colOff>
      <xdr:row>17</xdr:row>
      <xdr:rowOff>183398</xdr:rowOff>
    </xdr:from>
    <xdr:to>
      <xdr:col>38</xdr:col>
      <xdr:colOff>378313</xdr:colOff>
      <xdr:row>29</xdr:row>
      <xdr:rowOff>183398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AC5FFC79-3000-4A56-9A8E-42605E8CCD0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25</xdr:col>
      <xdr:colOff>340674</xdr:colOff>
      <xdr:row>17</xdr:row>
      <xdr:rowOff>110340</xdr:rowOff>
    </xdr:from>
    <xdr:to>
      <xdr:col>31</xdr:col>
      <xdr:colOff>284556</xdr:colOff>
      <xdr:row>29</xdr:row>
      <xdr:rowOff>110340</xdr:rowOff>
    </xdr:to>
    <xdr:graphicFrame macro="">
      <xdr:nvGraphicFramePr>
        <xdr:cNvPr id="5" name="グラフ 4">
          <a:extLst>
            <a:ext uri="{FF2B5EF4-FFF2-40B4-BE49-F238E27FC236}">
              <a16:creationId xmlns:a16="http://schemas.microsoft.com/office/drawing/2014/main" id="{6DC75FD7-E214-4307-9026-01079F89A1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577862</xdr:colOff>
      <xdr:row>30</xdr:row>
      <xdr:rowOff>68036</xdr:rowOff>
    </xdr:from>
    <xdr:to>
      <xdr:col>9</xdr:col>
      <xdr:colOff>324398</xdr:colOff>
      <xdr:row>41</xdr:row>
      <xdr:rowOff>172826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C839501-0D43-B4CD-DF20-0E019E53C4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0673" t="5049" r="58422" b="9494"/>
        <a:stretch/>
      </xdr:blipFill>
      <xdr:spPr>
        <a:xfrm rot="16200000">
          <a:off x="3126967" y="5792074"/>
          <a:ext cx="2637896" cy="5069106"/>
        </a:xfrm>
        <a:prstGeom prst="rect">
          <a:avLst/>
        </a:prstGeom>
      </xdr:spPr>
    </xdr:pic>
    <xdr:clientData/>
  </xdr:twoCellAnchor>
  <xdr:twoCellAnchor>
    <xdr:from>
      <xdr:col>19</xdr:col>
      <xdr:colOff>32112</xdr:colOff>
      <xdr:row>30</xdr:row>
      <xdr:rowOff>13333</xdr:rowOff>
    </xdr:from>
    <xdr:to>
      <xdr:col>25</xdr:col>
      <xdr:colOff>599802</xdr:colOff>
      <xdr:row>41</xdr:row>
      <xdr:rowOff>208187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A56243DC-9804-525E-A26B-7059DC1A64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26</xdr:col>
      <xdr:colOff>610416</xdr:colOff>
      <xdr:row>30</xdr:row>
      <xdr:rowOff>108857</xdr:rowOff>
    </xdr:from>
    <xdr:to>
      <xdr:col>33</xdr:col>
      <xdr:colOff>518976</xdr:colOff>
      <xdr:row>42</xdr:row>
      <xdr:rowOff>81915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B5E2F1F3-0A31-45E9-87A7-5C4407A8F8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11</xdr:col>
      <xdr:colOff>0</xdr:colOff>
      <xdr:row>30</xdr:row>
      <xdr:rowOff>0</xdr:rowOff>
    </xdr:from>
    <xdr:to>
      <xdr:col>17</xdr:col>
      <xdr:colOff>567690</xdr:colOff>
      <xdr:row>41</xdr:row>
      <xdr:rowOff>194854</xdr:rowOff>
    </xdr:to>
    <xdr:graphicFrame macro="">
      <xdr:nvGraphicFramePr>
        <xdr:cNvPr id="5" name="グラフ 4">
          <a:extLst>
            <a:ext uri="{FF2B5EF4-FFF2-40B4-BE49-F238E27FC236}">
              <a16:creationId xmlns:a16="http://schemas.microsoft.com/office/drawing/2014/main" id="{BB6ADCBE-B279-480B-9C86-DA629F45C76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488361</xdr:colOff>
      <xdr:row>45</xdr:row>
      <xdr:rowOff>8299</xdr:rowOff>
    </xdr:from>
    <xdr:to>
      <xdr:col>16</xdr:col>
      <xdr:colOff>385491</xdr:colOff>
      <xdr:row>56</xdr:row>
      <xdr:rowOff>204242</xdr:rowOff>
    </xdr:to>
    <xdr:graphicFrame macro="">
      <xdr:nvGraphicFramePr>
        <xdr:cNvPr id="6" name="グラフ 5">
          <a:extLst>
            <a:ext uri="{FF2B5EF4-FFF2-40B4-BE49-F238E27FC236}">
              <a16:creationId xmlns:a16="http://schemas.microsoft.com/office/drawing/2014/main" id="{C2AB2C5B-603B-4980-90BB-6ED98C99099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17</xdr:col>
      <xdr:colOff>664845</xdr:colOff>
      <xdr:row>46</xdr:row>
      <xdr:rowOff>25717</xdr:rowOff>
    </xdr:from>
    <xdr:to>
      <xdr:col>24</xdr:col>
      <xdr:colOff>565785</xdr:colOff>
      <xdr:row>57</xdr:row>
      <xdr:rowOff>214856</xdr:rowOff>
    </xdr:to>
    <xdr:graphicFrame macro="">
      <xdr:nvGraphicFramePr>
        <xdr:cNvPr id="7" name="グラフ 6">
          <a:extLst>
            <a:ext uri="{FF2B5EF4-FFF2-40B4-BE49-F238E27FC236}">
              <a16:creationId xmlns:a16="http://schemas.microsoft.com/office/drawing/2014/main" id="{92C14E8E-6083-46FE-84A3-A898F1BAE3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496888</xdr:colOff>
      <xdr:row>67</xdr:row>
      <xdr:rowOff>28652</xdr:rowOff>
    </xdr:from>
    <xdr:to>
      <xdr:col>10</xdr:col>
      <xdr:colOff>325732</xdr:colOff>
      <xdr:row>77</xdr:row>
      <xdr:rowOff>151165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AE21FE9-1F56-488F-A916-3E40A7A7E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7138" y="15400097"/>
          <a:ext cx="4682784" cy="2410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326858</xdr:colOff>
      <xdr:row>66</xdr:row>
      <xdr:rowOff>187611</xdr:rowOff>
    </xdr:from>
    <xdr:to>
      <xdr:col>18</xdr:col>
      <xdr:colOff>323683</xdr:colOff>
      <xdr:row>82</xdr:row>
      <xdr:rowOff>209259</xdr:rowOff>
    </xdr:to>
    <xdr:pic>
      <xdr:nvPicPr>
        <xdr:cNvPr id="3" name="図 2" descr="Ｄ値法">
          <a:extLst>
            <a:ext uri="{FF2B5EF4-FFF2-40B4-BE49-F238E27FC236}">
              <a16:creationId xmlns:a16="http://schemas.microsoft.com/office/drawing/2014/main" id="{C9F9EBF6-2EF1-42D1-ABB6-5AD89CFB81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47798" y="15332361"/>
          <a:ext cx="4671695" cy="36830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496888</xdr:colOff>
      <xdr:row>67</xdr:row>
      <xdr:rowOff>28652</xdr:rowOff>
    </xdr:from>
    <xdr:to>
      <xdr:col>10</xdr:col>
      <xdr:colOff>325732</xdr:colOff>
      <xdr:row>77</xdr:row>
      <xdr:rowOff>151165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3ECEFF0-EEE7-4EF5-A448-3BD73EE1DA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7138" y="15983027"/>
          <a:ext cx="4690404" cy="2503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326858</xdr:colOff>
      <xdr:row>66</xdr:row>
      <xdr:rowOff>187611</xdr:rowOff>
    </xdr:from>
    <xdr:to>
      <xdr:col>18</xdr:col>
      <xdr:colOff>323683</xdr:colOff>
      <xdr:row>82</xdr:row>
      <xdr:rowOff>209259</xdr:rowOff>
    </xdr:to>
    <xdr:pic>
      <xdr:nvPicPr>
        <xdr:cNvPr id="3" name="図 2" descr="Ｄ値法">
          <a:extLst>
            <a:ext uri="{FF2B5EF4-FFF2-40B4-BE49-F238E27FC236}">
              <a16:creationId xmlns:a16="http://schemas.microsoft.com/office/drawing/2014/main" id="{115EC727-EFEA-469D-801D-DE6DFDB67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1608" y="15903861"/>
          <a:ext cx="4660265" cy="3827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568325</xdr:colOff>
      <xdr:row>70</xdr:row>
      <xdr:rowOff>175337</xdr:rowOff>
    </xdr:from>
    <xdr:to>
      <xdr:col>10</xdr:col>
      <xdr:colOff>397169</xdr:colOff>
      <xdr:row>81</xdr:row>
      <xdr:rowOff>59725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4B152E2-FCDB-4E8E-A455-5821142D6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68575" y="16230677"/>
          <a:ext cx="4686594" cy="2402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584033</xdr:colOff>
      <xdr:row>10</xdr:row>
      <xdr:rowOff>123794</xdr:rowOff>
    </xdr:from>
    <xdr:to>
      <xdr:col>36</xdr:col>
      <xdr:colOff>591335</xdr:colOff>
      <xdr:row>26</xdr:row>
      <xdr:rowOff>130202</xdr:rowOff>
    </xdr:to>
    <xdr:pic>
      <xdr:nvPicPr>
        <xdr:cNvPr id="3" name="図 2" descr="Ｄ値法">
          <a:extLst>
            <a:ext uri="{FF2B5EF4-FFF2-40B4-BE49-F238E27FC236}">
              <a16:creationId xmlns:a16="http://schemas.microsoft.com/office/drawing/2014/main" id="{3AFAA6E3-F3C8-4590-86B2-5BF793BEB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4093" y="2421224"/>
          <a:ext cx="4670742" cy="3681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461A58-35BE-4A08-96BB-10009E07C479}">
  <dimension ref="B3:AJ19"/>
  <sheetViews>
    <sheetView zoomScale="85" zoomScaleNormal="85" workbookViewId="0">
      <selection activeCell="E6" sqref="E6"/>
    </sheetView>
  </sheetViews>
  <sheetFormatPr defaultRowHeight="18.75" x14ac:dyDescent="0.4"/>
  <cols>
    <col min="3" max="3" width="12.125" bestFit="1" customWidth="1"/>
    <col min="4" max="5" width="13.75" customWidth="1"/>
    <col min="6" max="6" width="8.75" customWidth="1"/>
    <col min="7" max="7" width="11.5" customWidth="1"/>
    <col min="8" max="8" width="9.375" customWidth="1"/>
    <col min="9" max="9" width="8.75" customWidth="1"/>
    <col min="12" max="12" width="13.5" bestFit="1" customWidth="1"/>
  </cols>
  <sheetData>
    <row r="3" spans="2:36" x14ac:dyDescent="0.4">
      <c r="B3" t="s">
        <v>94</v>
      </c>
      <c r="C3" t="s">
        <v>93</v>
      </c>
      <c r="D3" t="s">
        <v>96</v>
      </c>
      <c r="E3" t="s">
        <v>107</v>
      </c>
      <c r="F3" t="s">
        <v>108</v>
      </c>
      <c r="L3" t="s">
        <v>125</v>
      </c>
      <c r="Y3" t="s">
        <v>124</v>
      </c>
    </row>
    <row r="4" spans="2:36" x14ac:dyDescent="0.4">
      <c r="B4" t="s">
        <v>97</v>
      </c>
      <c r="D4" t="s">
        <v>98</v>
      </c>
      <c r="E4" t="s">
        <v>106</v>
      </c>
      <c r="F4" t="s">
        <v>109</v>
      </c>
    </row>
    <row r="5" spans="2:36" x14ac:dyDescent="0.4">
      <c r="B5">
        <v>600</v>
      </c>
      <c r="C5" t="s">
        <v>126</v>
      </c>
      <c r="D5">
        <v>1140000</v>
      </c>
      <c r="E5" s="18">
        <f>D5/3*10^6/F5</f>
        <v>1853658.5365853659</v>
      </c>
      <c r="F5">
        <v>205000</v>
      </c>
      <c r="K5" t="s">
        <v>112</v>
      </c>
      <c r="L5" t="s">
        <v>114</v>
      </c>
      <c r="M5">
        <v>900</v>
      </c>
      <c r="N5">
        <f>M5+200</f>
        <v>1100</v>
      </c>
      <c r="O5">
        <f t="shared" ref="O5:W5" si="0">N5+200</f>
        <v>1300</v>
      </c>
      <c r="P5">
        <f t="shared" si="0"/>
        <v>1500</v>
      </c>
      <c r="Q5">
        <f t="shared" si="0"/>
        <v>1700</v>
      </c>
      <c r="R5">
        <f t="shared" si="0"/>
        <v>1900</v>
      </c>
      <c r="S5">
        <f t="shared" si="0"/>
        <v>2100</v>
      </c>
      <c r="T5">
        <f t="shared" si="0"/>
        <v>2300</v>
      </c>
      <c r="U5">
        <f t="shared" si="0"/>
        <v>2500</v>
      </c>
      <c r="V5">
        <f t="shared" si="0"/>
        <v>2700</v>
      </c>
      <c r="W5">
        <f t="shared" si="0"/>
        <v>2900</v>
      </c>
      <c r="Y5" t="s">
        <v>17</v>
      </c>
      <c r="Z5">
        <v>900</v>
      </c>
      <c r="AA5">
        <f>Z5+200</f>
        <v>1100</v>
      </c>
      <c r="AB5">
        <f t="shared" ref="AB5" si="1">AA5+200</f>
        <v>1300</v>
      </c>
      <c r="AC5">
        <f t="shared" ref="AC5" si="2">AB5+200</f>
        <v>1500</v>
      </c>
      <c r="AD5">
        <f t="shared" ref="AD5" si="3">AC5+200</f>
        <v>1700</v>
      </c>
      <c r="AE5">
        <f t="shared" ref="AE5" si="4">AD5+200</f>
        <v>1900</v>
      </c>
      <c r="AF5">
        <f t="shared" ref="AF5" si="5">AE5+200</f>
        <v>2100</v>
      </c>
      <c r="AG5">
        <f t="shared" ref="AG5" si="6">AF5+200</f>
        <v>2300</v>
      </c>
      <c r="AH5">
        <f t="shared" ref="AH5" si="7">AG5+200</f>
        <v>2500</v>
      </c>
      <c r="AI5">
        <f t="shared" ref="AI5" si="8">AH5+200</f>
        <v>2700</v>
      </c>
      <c r="AJ5">
        <f t="shared" ref="AJ5" si="9">AI5+200</f>
        <v>2900</v>
      </c>
    </row>
    <row r="6" spans="2:36" x14ac:dyDescent="0.4">
      <c r="B6">
        <v>350</v>
      </c>
      <c r="C6" t="s">
        <v>95</v>
      </c>
      <c r="D6">
        <v>105000</v>
      </c>
      <c r="E6" s="18">
        <f>D6/3*10^6/F6</f>
        <v>170731.70731707316</v>
      </c>
      <c r="F6">
        <v>205000</v>
      </c>
      <c r="K6">
        <f>1/'D値 (変形確認用)'!AH6</f>
        <v>4.1778546111584328E-3</v>
      </c>
      <c r="L6" t="s">
        <v>112</v>
      </c>
      <c r="M6">
        <v>4.0796930321368042E-3</v>
      </c>
      <c r="N6">
        <v>3.9559933630465604E-3</v>
      </c>
      <c r="O6">
        <v>3.8766069613021333E-3</v>
      </c>
      <c r="P6">
        <v>3.8262737831357492E-3</v>
      </c>
      <c r="Q6">
        <v>3.7938174631583065E-3</v>
      </c>
      <c r="R6">
        <v>3.7723170167445028E-3</v>
      </c>
      <c r="S6">
        <v>3.7576565448822824E-3</v>
      </c>
      <c r="T6">
        <v>3.7473797005892905E-3</v>
      </c>
      <c r="U6">
        <v>3.7399910676677831E-3</v>
      </c>
      <c r="V6">
        <v>3.7345567656529221E-3</v>
      </c>
      <c r="W6">
        <v>3.7304779512490182E-3</v>
      </c>
      <c r="Y6" t="s">
        <v>112</v>
      </c>
      <c r="Z6">
        <v>1.8032559017734442E-3</v>
      </c>
      <c r="AA6">
        <v>1.514144586242004E-3</v>
      </c>
      <c r="AB6">
        <v>1.2935716088842866E-3</v>
      </c>
      <c r="AC6">
        <v>1.1360302674742456E-3</v>
      </c>
      <c r="AD6">
        <v>1.0259730429761208E-3</v>
      </c>
      <c r="AE6">
        <v>9.4901716559210982E-4</v>
      </c>
      <c r="AF6">
        <v>8.9456025962161856E-4</v>
      </c>
      <c r="AG6">
        <v>8.55380789836469E-4</v>
      </c>
      <c r="AH6">
        <v>8.2668248704827836E-4</v>
      </c>
      <c r="AI6">
        <v>8.0528515035185584E-4</v>
      </c>
      <c r="AJ6">
        <v>7.8906063779460279E-4</v>
      </c>
    </row>
    <row r="7" spans="2:36" x14ac:dyDescent="0.4">
      <c r="K7">
        <f>1/'D値 (変形確認用)'!AJ6</f>
        <v>4.4207774222355372E-3</v>
      </c>
      <c r="L7" t="s">
        <v>113</v>
      </c>
      <c r="M7">
        <v>4.3839998697971592E-3</v>
      </c>
      <c r="N7">
        <v>4.1981401289281645E-3</v>
      </c>
      <c r="O7">
        <v>4.102101010101035E-3</v>
      </c>
      <c r="P7">
        <v>4.048433253905576E-3</v>
      </c>
      <c r="Q7">
        <v>4.016370343182518E-3</v>
      </c>
      <c r="R7">
        <v>3.9961286818583049E-3</v>
      </c>
      <c r="S7">
        <v>3.9827556981278179E-3</v>
      </c>
      <c r="T7">
        <v>3.9735806042189414E-3</v>
      </c>
      <c r="U7">
        <v>3.9670827719931363E-3</v>
      </c>
      <c r="V7">
        <v>3.9623553078599032E-3</v>
      </c>
      <c r="W7">
        <v>3.9588353793537125E-3</v>
      </c>
      <c r="Y7" t="s">
        <v>113</v>
      </c>
      <c r="Z7">
        <v>1.351269769978842E-3</v>
      </c>
      <c r="AA7">
        <v>1.0507891052430707E-3</v>
      </c>
      <c r="AB7">
        <v>8.9175546927189211E-4</v>
      </c>
      <c r="AC7">
        <v>8.0160727077720261E-4</v>
      </c>
      <c r="AD7">
        <v>7.4725658094653509E-4</v>
      </c>
      <c r="AE7">
        <v>7.1273527686504861E-4</v>
      </c>
      <c r="AF7">
        <v>6.8983269560922292E-4</v>
      </c>
      <c r="AG7">
        <v>6.7407301295501875E-4</v>
      </c>
      <c r="AH7">
        <v>6.6288816865670409E-4</v>
      </c>
      <c r="AI7">
        <v>6.5473792151816577E-4</v>
      </c>
      <c r="AJ7">
        <v>6.4866234402393764E-4</v>
      </c>
    </row>
    <row r="8" spans="2:36" x14ac:dyDescent="0.4">
      <c r="B8" t="s">
        <v>100</v>
      </c>
      <c r="C8" t="s">
        <v>101</v>
      </c>
      <c r="D8" t="s">
        <v>99</v>
      </c>
      <c r="E8" t="s">
        <v>102</v>
      </c>
      <c r="F8" t="s">
        <v>104</v>
      </c>
      <c r="G8" t="s">
        <v>105</v>
      </c>
      <c r="H8" s="41" t="s">
        <v>110</v>
      </c>
      <c r="I8" t="s">
        <v>111</v>
      </c>
    </row>
    <row r="9" spans="2:36" x14ac:dyDescent="0.4">
      <c r="B9" t="s">
        <v>97</v>
      </c>
      <c r="C9" t="s">
        <v>97</v>
      </c>
      <c r="E9" t="s">
        <v>103</v>
      </c>
      <c r="F9" t="s">
        <v>97</v>
      </c>
      <c r="G9" t="s">
        <v>106</v>
      </c>
      <c r="H9" s="42" t="s">
        <v>106</v>
      </c>
      <c r="I9" t="s">
        <v>106</v>
      </c>
      <c r="L9" t="s">
        <v>119</v>
      </c>
      <c r="M9">
        <v>900</v>
      </c>
      <c r="N9">
        <f>M9+200</f>
        <v>1100</v>
      </c>
      <c r="O9">
        <f t="shared" ref="O9:W9" si="10">N9+200</f>
        <v>1300</v>
      </c>
      <c r="P9">
        <f t="shared" si="10"/>
        <v>1500</v>
      </c>
      <c r="Q9">
        <f t="shared" si="10"/>
        <v>1700</v>
      </c>
      <c r="R9">
        <f t="shared" si="10"/>
        <v>1900</v>
      </c>
      <c r="S9">
        <f t="shared" si="10"/>
        <v>2100</v>
      </c>
      <c r="T9">
        <f t="shared" si="10"/>
        <v>2300</v>
      </c>
      <c r="U9">
        <f t="shared" si="10"/>
        <v>2500</v>
      </c>
      <c r="V9">
        <f t="shared" si="10"/>
        <v>2700</v>
      </c>
      <c r="W9">
        <f t="shared" si="10"/>
        <v>2900</v>
      </c>
      <c r="Y9" t="s">
        <v>119</v>
      </c>
      <c r="Z9">
        <v>900</v>
      </c>
      <c r="AA9">
        <f>Z9+200</f>
        <v>1100</v>
      </c>
      <c r="AB9">
        <f t="shared" ref="AB9" si="11">AA9+200</f>
        <v>1300</v>
      </c>
      <c r="AC9">
        <f t="shared" ref="AC9" si="12">AB9+200</f>
        <v>1500</v>
      </c>
      <c r="AD9">
        <f t="shared" ref="AD9" si="13">AC9+200</f>
        <v>1700</v>
      </c>
      <c r="AE9">
        <f t="shared" ref="AE9" si="14">AD9+200</f>
        <v>1900</v>
      </c>
      <c r="AF9">
        <f t="shared" ref="AF9" si="15">AE9+200</f>
        <v>2100</v>
      </c>
      <c r="AG9">
        <f t="shared" ref="AG9" si="16">AF9+200</f>
        <v>2300</v>
      </c>
      <c r="AH9">
        <f t="shared" ref="AH9" si="17">AG9+200</f>
        <v>2500</v>
      </c>
      <c r="AI9">
        <f t="shared" ref="AI9" si="18">AH9+200</f>
        <v>2700</v>
      </c>
      <c r="AJ9">
        <f t="shared" ref="AJ9" si="19">AI9+200</f>
        <v>2900</v>
      </c>
    </row>
    <row r="10" spans="2:36" x14ac:dyDescent="0.4">
      <c r="B10">
        <v>800</v>
      </c>
      <c r="C10">
        <v>900</v>
      </c>
      <c r="D10">
        <v>15</v>
      </c>
      <c r="E10">
        <f>B10*C10^3/12/D10</f>
        <v>3240000000</v>
      </c>
      <c r="F10">
        <v>13480</v>
      </c>
      <c r="G10" s="18">
        <f>E10/F10</f>
        <v>240356.0830860534</v>
      </c>
      <c r="H10" s="43">
        <f>1/(1/E5+1/G10)</f>
        <v>212767.42819617738</v>
      </c>
      <c r="I10">
        <f>H10/10^5</f>
        <v>2.1276742819617738</v>
      </c>
      <c r="L10" t="s">
        <v>122</v>
      </c>
      <c r="M10">
        <v>0.5</v>
      </c>
      <c r="N10">
        <v>0.5</v>
      </c>
      <c r="O10" s="40">
        <v>0.5</v>
      </c>
      <c r="P10" s="40">
        <v>0.5</v>
      </c>
      <c r="Q10" s="40">
        <v>0.5</v>
      </c>
      <c r="R10" s="40">
        <v>0.5</v>
      </c>
      <c r="S10" s="40">
        <v>0.5</v>
      </c>
      <c r="T10" s="40">
        <v>0.55000000000000004</v>
      </c>
      <c r="U10">
        <v>0.55000000000000004</v>
      </c>
      <c r="V10">
        <v>0.55000000000000004</v>
      </c>
      <c r="W10">
        <v>0.55000000000000004</v>
      </c>
      <c r="Y10" t="s">
        <v>122</v>
      </c>
      <c r="Z10" s="40">
        <v>0.6</v>
      </c>
      <c r="AA10" s="40">
        <v>0.7</v>
      </c>
      <c r="AB10" s="40">
        <v>0.65</v>
      </c>
      <c r="AC10" s="40">
        <v>0.7</v>
      </c>
      <c r="AD10" s="40">
        <v>0.75</v>
      </c>
      <c r="AE10" s="40">
        <v>0.75</v>
      </c>
      <c r="AF10" s="40">
        <v>0.8</v>
      </c>
      <c r="AG10" s="40">
        <v>0.8</v>
      </c>
      <c r="AH10" s="40">
        <v>0.8</v>
      </c>
      <c r="AI10" s="40">
        <v>0.8</v>
      </c>
      <c r="AJ10" s="40">
        <v>0.8</v>
      </c>
    </row>
    <row r="11" spans="2:36" x14ac:dyDescent="0.4">
      <c r="L11" t="s">
        <v>121</v>
      </c>
      <c r="M11">
        <v>0.5</v>
      </c>
      <c r="N11">
        <v>0.5</v>
      </c>
      <c r="O11" s="40">
        <v>0.5</v>
      </c>
      <c r="P11" s="40">
        <v>0.5</v>
      </c>
      <c r="Q11" s="40">
        <v>0.55000000000000004</v>
      </c>
      <c r="R11" s="40">
        <v>0.55000000000000004</v>
      </c>
      <c r="S11" s="40">
        <v>0.55000000000000004</v>
      </c>
      <c r="T11" s="40">
        <v>0.55000000000000004</v>
      </c>
      <c r="U11">
        <v>0.55000000000000004</v>
      </c>
      <c r="V11">
        <v>0.55000000000000004</v>
      </c>
      <c r="W11">
        <v>0.55000000000000004</v>
      </c>
      <c r="Y11" t="s">
        <v>121</v>
      </c>
      <c r="Z11" s="40">
        <v>0.65</v>
      </c>
      <c r="AA11" s="40">
        <v>0.75</v>
      </c>
      <c r="AB11" s="40">
        <v>0.7</v>
      </c>
      <c r="AC11" s="40">
        <v>0.75</v>
      </c>
      <c r="AD11" s="40">
        <v>0.8</v>
      </c>
      <c r="AE11" s="40">
        <v>0.8</v>
      </c>
      <c r="AF11" s="40">
        <v>0.8</v>
      </c>
      <c r="AG11" s="40">
        <v>0.8</v>
      </c>
      <c r="AH11" s="40">
        <v>0.8</v>
      </c>
      <c r="AI11" s="40">
        <v>0.8</v>
      </c>
      <c r="AJ11" s="40">
        <v>0.8</v>
      </c>
    </row>
    <row r="12" spans="2:36" x14ac:dyDescent="0.4">
      <c r="L12" t="s">
        <v>120</v>
      </c>
      <c r="M12">
        <v>0.65</v>
      </c>
      <c r="N12">
        <v>0.65</v>
      </c>
      <c r="O12" s="40">
        <v>0.65</v>
      </c>
      <c r="P12" s="40">
        <v>0.65</v>
      </c>
      <c r="Q12" s="40">
        <v>0.65</v>
      </c>
      <c r="R12" s="40">
        <v>0.65</v>
      </c>
      <c r="S12" s="40">
        <v>0.65</v>
      </c>
      <c r="T12" s="40">
        <v>0.65</v>
      </c>
      <c r="U12">
        <v>0.65</v>
      </c>
      <c r="V12">
        <v>0.65</v>
      </c>
      <c r="W12">
        <v>0.65</v>
      </c>
      <c r="Y12" t="s">
        <v>120</v>
      </c>
      <c r="Z12" s="40">
        <v>1</v>
      </c>
      <c r="AA12" s="40">
        <v>0.9</v>
      </c>
      <c r="AB12" s="40">
        <v>0.8</v>
      </c>
      <c r="AC12" s="40">
        <v>0.8</v>
      </c>
      <c r="AD12" s="40">
        <v>0.8</v>
      </c>
      <c r="AE12" s="40">
        <v>0.8</v>
      </c>
      <c r="AF12" s="40">
        <v>0.8</v>
      </c>
      <c r="AG12" s="40">
        <v>0.8</v>
      </c>
      <c r="AH12" s="40">
        <v>0.8</v>
      </c>
      <c r="AI12" s="40">
        <v>0.8</v>
      </c>
      <c r="AJ12" s="40">
        <v>0.8</v>
      </c>
    </row>
    <row r="13" spans="2:36" x14ac:dyDescent="0.4">
      <c r="B13" t="s">
        <v>100</v>
      </c>
      <c r="C13" t="s">
        <v>101</v>
      </c>
      <c r="D13" t="s">
        <v>99</v>
      </c>
      <c r="E13" t="s">
        <v>102</v>
      </c>
      <c r="F13" t="s">
        <v>104</v>
      </c>
      <c r="G13" t="s">
        <v>105</v>
      </c>
      <c r="H13" s="41" t="s">
        <v>110</v>
      </c>
      <c r="I13" t="s">
        <v>111</v>
      </c>
      <c r="L13" t="s">
        <v>123</v>
      </c>
      <c r="M13" s="44">
        <v>0.6</v>
      </c>
      <c r="N13" s="40">
        <v>0.6</v>
      </c>
      <c r="O13" s="40">
        <v>0.6</v>
      </c>
      <c r="P13" s="40">
        <v>0.6</v>
      </c>
      <c r="Q13" s="40">
        <v>0.6</v>
      </c>
      <c r="R13" s="40">
        <v>0.6</v>
      </c>
      <c r="S13" s="40">
        <v>0.6</v>
      </c>
      <c r="T13" s="40">
        <v>0.6</v>
      </c>
      <c r="U13" s="40">
        <v>0.6</v>
      </c>
      <c r="V13" s="40">
        <v>0.6</v>
      </c>
      <c r="W13" s="40">
        <v>0.6</v>
      </c>
      <c r="Y13" t="s">
        <v>123</v>
      </c>
      <c r="Z13" s="40">
        <v>0.8</v>
      </c>
      <c r="AA13" s="40">
        <v>0.8</v>
      </c>
      <c r="AB13" s="40">
        <v>0.65</v>
      </c>
      <c r="AC13" s="40">
        <v>0.65</v>
      </c>
      <c r="AD13" s="40">
        <v>0.65</v>
      </c>
      <c r="AE13" s="40">
        <v>0.65</v>
      </c>
      <c r="AF13" s="40">
        <v>0.65</v>
      </c>
      <c r="AG13" s="40">
        <v>0.6</v>
      </c>
      <c r="AH13" s="40">
        <v>0.6</v>
      </c>
      <c r="AI13" s="40">
        <v>0.6</v>
      </c>
      <c r="AJ13" s="40">
        <v>0.6</v>
      </c>
    </row>
    <row r="14" spans="2:36" x14ac:dyDescent="0.4">
      <c r="B14" t="s">
        <v>97</v>
      </c>
      <c r="C14" t="s">
        <v>97</v>
      </c>
      <c r="E14" t="s">
        <v>103</v>
      </c>
      <c r="F14" t="s">
        <v>97</v>
      </c>
      <c r="G14" t="s">
        <v>106</v>
      </c>
      <c r="H14" s="42" t="s">
        <v>106</v>
      </c>
      <c r="I14" t="s">
        <v>106</v>
      </c>
    </row>
    <row r="15" spans="2:36" x14ac:dyDescent="0.4">
      <c r="B15">
        <v>800</v>
      </c>
      <c r="C15">
        <f>C10</f>
        <v>900</v>
      </c>
      <c r="D15">
        <v>15</v>
      </c>
      <c r="E15">
        <f>B15*C15^3/12/D15</f>
        <v>3240000000</v>
      </c>
      <c r="F15">
        <v>5640</v>
      </c>
      <c r="G15" s="18">
        <f>E15/F15</f>
        <v>574468.08510638296</v>
      </c>
      <c r="H15" s="43">
        <f>1/(1/E5+1/G15)</f>
        <v>438555.24684761697</v>
      </c>
      <c r="I15">
        <f>H15/10^5</f>
        <v>4.3855524684761695</v>
      </c>
    </row>
    <row r="17" spans="2:9" x14ac:dyDescent="0.4">
      <c r="B17" t="s">
        <v>100</v>
      </c>
      <c r="C17" t="s">
        <v>101</v>
      </c>
      <c r="D17" t="s">
        <v>99</v>
      </c>
      <c r="E17" t="s">
        <v>102</v>
      </c>
      <c r="F17" t="s">
        <v>104</v>
      </c>
      <c r="G17" t="s">
        <v>105</v>
      </c>
      <c r="H17" s="41" t="s">
        <v>110</v>
      </c>
      <c r="I17" t="s">
        <v>111</v>
      </c>
    </row>
    <row r="18" spans="2:9" x14ac:dyDescent="0.4">
      <c r="B18" t="s">
        <v>97</v>
      </c>
      <c r="C18" t="s">
        <v>97</v>
      </c>
      <c r="E18" t="s">
        <v>103</v>
      </c>
      <c r="F18" t="s">
        <v>97</v>
      </c>
      <c r="G18" t="s">
        <v>106</v>
      </c>
      <c r="H18" s="42" t="s">
        <v>106</v>
      </c>
      <c r="I18" t="s">
        <v>106</v>
      </c>
    </row>
    <row r="19" spans="2:9" x14ac:dyDescent="0.4">
      <c r="B19">
        <v>800</v>
      </c>
      <c r="C19">
        <f>C15</f>
        <v>900</v>
      </c>
      <c r="D19">
        <v>15</v>
      </c>
      <c r="E19">
        <f>B19*C19^3/12/D19</f>
        <v>3240000000</v>
      </c>
      <c r="F19">
        <v>5700</v>
      </c>
      <c r="G19" s="18">
        <f>E19/F19</f>
        <v>568421.05263157899</v>
      </c>
      <c r="H19" s="43">
        <f>1/(1/E5+1/G19)</f>
        <v>435022.25991096039</v>
      </c>
      <c r="I19">
        <f>H19/10^5</f>
        <v>4.3502225991096042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6B60CF-BB41-4F86-A9EF-736F2CB7558E}">
  <sheetPr>
    <pageSetUpPr fitToPage="1"/>
  </sheetPr>
  <dimension ref="C3:AV29"/>
  <sheetViews>
    <sheetView zoomScale="85" zoomScaleNormal="85" workbookViewId="0">
      <pane xSplit="8" ySplit="3" topLeftCell="I4" activePane="bottomRight" state="frozen"/>
      <selection pane="topRight" activeCell="I1" sqref="I1"/>
      <selection pane="bottomLeft" activeCell="A4" sqref="A4"/>
      <selection pane="bottomRight" activeCell="AJ32" sqref="AJ32"/>
    </sheetView>
  </sheetViews>
  <sheetFormatPr defaultRowHeight="18.75" x14ac:dyDescent="0.4"/>
  <cols>
    <col min="8" max="8" width="17.5" bestFit="1" customWidth="1"/>
    <col min="22" max="22" width="8.75" customWidth="1"/>
    <col min="33" max="33" width="12.125" bestFit="1" customWidth="1"/>
    <col min="35" max="35" width="8.75" customWidth="1"/>
    <col min="36" max="36" width="9.75" customWidth="1"/>
    <col min="40" max="40" width="10.375" customWidth="1"/>
    <col min="42" max="42" width="14.625" bestFit="1" customWidth="1"/>
    <col min="46" max="46" width="14.625" bestFit="1" customWidth="1"/>
  </cols>
  <sheetData>
    <row r="3" spans="3:48" x14ac:dyDescent="0.4">
      <c r="C3" t="s">
        <v>51</v>
      </c>
      <c r="D3" s="58" t="s">
        <v>39</v>
      </c>
      <c r="E3" s="58" t="s">
        <v>42</v>
      </c>
      <c r="F3" s="58" t="s">
        <v>43</v>
      </c>
      <c r="G3" s="58" t="s">
        <v>44</v>
      </c>
      <c r="H3" s="58" t="s">
        <v>115</v>
      </c>
      <c r="I3" s="57" t="s">
        <v>52</v>
      </c>
      <c r="J3" s="57"/>
      <c r="K3" s="57"/>
      <c r="L3" s="57"/>
      <c r="M3" s="57"/>
      <c r="N3" s="57" t="s">
        <v>66</v>
      </c>
      <c r="O3" s="57"/>
      <c r="P3" s="57"/>
      <c r="Q3" s="53" t="s">
        <v>52</v>
      </c>
      <c r="R3" s="53"/>
      <c r="S3" s="52" t="s">
        <v>59</v>
      </c>
      <c r="T3" s="52"/>
    </row>
    <row r="4" spans="3:48" x14ac:dyDescent="0.4">
      <c r="D4" s="59"/>
      <c r="E4" s="59"/>
      <c r="F4" s="59"/>
      <c r="G4" s="59"/>
      <c r="H4" s="59"/>
      <c r="I4" s="35" t="s">
        <v>53</v>
      </c>
      <c r="J4" s="35" t="s">
        <v>54</v>
      </c>
      <c r="K4" s="35" t="s">
        <v>55</v>
      </c>
      <c r="L4" s="35" t="s">
        <v>57</v>
      </c>
      <c r="M4" s="35" t="s">
        <v>58</v>
      </c>
      <c r="N4" s="35" t="s">
        <v>53</v>
      </c>
      <c r="O4" s="35" t="s">
        <v>55</v>
      </c>
      <c r="P4" s="35" t="s">
        <v>18</v>
      </c>
      <c r="Q4" s="36" t="s">
        <v>64</v>
      </c>
      <c r="R4" s="36" t="s">
        <v>65</v>
      </c>
      <c r="S4" s="38" t="s">
        <v>60</v>
      </c>
      <c r="T4" s="38" t="s">
        <v>61</v>
      </c>
      <c r="U4" s="3" t="s">
        <v>127</v>
      </c>
      <c r="V4" s="3" t="s">
        <v>128</v>
      </c>
      <c r="W4" s="3" t="s">
        <v>129</v>
      </c>
      <c r="X4" s="3" t="s">
        <v>130</v>
      </c>
      <c r="Y4" s="3" t="s">
        <v>131</v>
      </c>
      <c r="Z4" s="3" t="s">
        <v>132</v>
      </c>
      <c r="AB4" s="3" t="s">
        <v>128</v>
      </c>
      <c r="AC4" s="3" t="s">
        <v>129</v>
      </c>
      <c r="AD4" s="3" t="s">
        <v>130</v>
      </c>
      <c r="AE4" s="3" t="s">
        <v>131</v>
      </c>
      <c r="AF4" s="3" t="s">
        <v>132</v>
      </c>
      <c r="AG4" s="3" t="s">
        <v>157</v>
      </c>
      <c r="AH4" s="3" t="s">
        <v>158</v>
      </c>
      <c r="AI4" s="3" t="s">
        <v>159</v>
      </c>
      <c r="AJ4" s="3" t="s">
        <v>160</v>
      </c>
      <c r="AK4" s="3" t="s">
        <v>146</v>
      </c>
      <c r="AL4" s="3" t="s">
        <v>145</v>
      </c>
    </row>
    <row r="5" spans="3:48" x14ac:dyDescent="0.4">
      <c r="D5" s="3" t="s">
        <v>92</v>
      </c>
      <c r="E5" s="3" t="s">
        <v>41</v>
      </c>
      <c r="F5" s="3">
        <v>1</v>
      </c>
      <c r="G5" s="3">
        <v>2</v>
      </c>
      <c r="H5" s="3" t="s">
        <v>116</v>
      </c>
      <c r="I5" s="16">
        <f>固定モーメント法!E10*-1</f>
        <v>200.01486838569727</v>
      </c>
      <c r="J5" s="16">
        <f>固定モーメント法!H5*-1</f>
        <v>-533.98513161430276</v>
      </c>
      <c r="K5" s="16">
        <f>固定モーメント法!M10</f>
        <v>200.01486838569727</v>
      </c>
      <c r="L5" s="16">
        <f>固定モーメント法!H7</f>
        <v>147</v>
      </c>
      <c r="M5" s="16">
        <f>L5</f>
        <v>147</v>
      </c>
      <c r="N5" s="16">
        <f>D値!F4*-1</f>
        <v>-138.82747428736425</v>
      </c>
      <c r="O5" s="16">
        <f>D値!H3</f>
        <v>138.82747428736425</v>
      </c>
      <c r="P5" s="16">
        <f>D値!G6</f>
        <v>20.597548113852262</v>
      </c>
      <c r="Q5" s="37">
        <f>MAX(ABS(I5),ABS(J5),ABS(K5))</f>
        <v>533.98513161430276</v>
      </c>
      <c r="R5" s="37">
        <f>MAX(L5:M5)</f>
        <v>147</v>
      </c>
      <c r="S5" s="39">
        <f>MAX(ABS(J5),K5+O5)</f>
        <v>533.98513161430276</v>
      </c>
      <c r="T5" s="39">
        <f>MAX(L5:M5)+P5</f>
        <v>167.59754811385227</v>
      </c>
      <c r="U5" s="16">
        <f>MAX(Q5*1.5,S5)/0.9</f>
        <v>889.97521935717134</v>
      </c>
      <c r="V5" s="16">
        <v>588</v>
      </c>
      <c r="W5" s="3">
        <v>300</v>
      </c>
      <c r="X5" s="16">
        <v>12</v>
      </c>
      <c r="Y5" s="3">
        <v>20</v>
      </c>
      <c r="Z5" s="16">
        <v>325</v>
      </c>
      <c r="AB5" s="16">
        <v>700</v>
      </c>
      <c r="AC5" s="3">
        <v>300</v>
      </c>
      <c r="AD5" s="16">
        <v>13</v>
      </c>
      <c r="AE5" s="3">
        <v>24</v>
      </c>
      <c r="AF5" s="16">
        <v>235</v>
      </c>
      <c r="AG5" s="16">
        <v>1970000000</v>
      </c>
      <c r="AH5" s="32">
        <v>1.5</v>
      </c>
      <c r="AI5" s="16">
        <v>13480</v>
      </c>
      <c r="AJ5" s="15">
        <f>AG5*AH5/AI5/10^5</f>
        <v>2.1921364985163203</v>
      </c>
      <c r="AK5" s="16">
        <f t="shared" ref="AK5:AK16" si="0">AC5*AE5*(AB5-AE5)*AF5*1.1/10^6</f>
        <v>1258.1712</v>
      </c>
      <c r="AL5" s="16">
        <f>AK5*2/(13.48-0.35)</f>
        <v>191.64831683168316</v>
      </c>
      <c r="AM5" t="s">
        <v>156</v>
      </c>
    </row>
    <row r="6" spans="3:48" x14ac:dyDescent="0.4">
      <c r="D6" s="3" t="s">
        <v>92</v>
      </c>
      <c r="E6" s="3" t="s">
        <v>40</v>
      </c>
      <c r="F6" s="3">
        <v>1</v>
      </c>
      <c r="G6" s="3">
        <v>2</v>
      </c>
      <c r="H6" s="3" t="s">
        <v>116</v>
      </c>
      <c r="I6" s="16">
        <f>固定モーメント法!S10*-1</f>
        <v>153.61601701937121</v>
      </c>
      <c r="J6" s="16">
        <f>固定モーメント法!V5*-1</f>
        <v>-342.38398298062879</v>
      </c>
      <c r="K6" s="16">
        <f>固定モーメント法!AA10</f>
        <v>153.61601701937121</v>
      </c>
      <c r="L6" s="3">
        <f>固定モーメント法!V7</f>
        <v>218</v>
      </c>
      <c r="M6" s="16">
        <f>L6</f>
        <v>218</v>
      </c>
      <c r="N6" s="16">
        <f>D値!T4*-1</f>
        <v>-126.51628856895368</v>
      </c>
      <c r="O6" s="16">
        <f>D値!V3</f>
        <v>126.51628856895368</v>
      </c>
      <c r="P6" s="16">
        <f>D値!U6</f>
        <v>18.770962695690457</v>
      </c>
      <c r="Q6" s="37">
        <f t="shared" ref="Q6:Q16" si="1">MAX(ABS(I6),ABS(J6),ABS(K6))</f>
        <v>342.38398298062879</v>
      </c>
      <c r="R6" s="37">
        <f t="shared" ref="R6:R16" si="2">MAX(L6:M6)</f>
        <v>218</v>
      </c>
      <c r="S6" s="39">
        <f t="shared" ref="S6:S16" si="3">MAX(ABS(J6),K6+O6)</f>
        <v>342.38398298062879</v>
      </c>
      <c r="T6" s="39">
        <f t="shared" ref="T6:T16" si="4">MAX(L6:M6)+P6</f>
        <v>236.77096269569046</v>
      </c>
      <c r="U6" s="16">
        <f t="shared" ref="U6:U14" si="5">MAX(Q6*1.5,S6)/0.9</f>
        <v>570.63997163438125</v>
      </c>
      <c r="V6" s="16">
        <v>588</v>
      </c>
      <c r="W6" s="3">
        <v>300</v>
      </c>
      <c r="X6" s="16">
        <v>12</v>
      </c>
      <c r="Y6" s="3">
        <v>20</v>
      </c>
      <c r="Z6" s="16">
        <v>235</v>
      </c>
      <c r="AB6" s="16">
        <v>700</v>
      </c>
      <c r="AC6" s="3">
        <v>300</v>
      </c>
      <c r="AD6" s="16">
        <v>13</v>
      </c>
      <c r="AE6" s="3">
        <v>24</v>
      </c>
      <c r="AF6" s="16">
        <v>235</v>
      </c>
      <c r="AG6" s="16">
        <v>1970000000</v>
      </c>
      <c r="AH6" s="32">
        <v>1.2</v>
      </c>
      <c r="AI6" s="16">
        <v>13480</v>
      </c>
      <c r="AJ6" s="15">
        <f t="shared" ref="AJ6:AJ16" si="6">AG6*AH6/AI6/10^5</f>
        <v>1.7537091988130562</v>
      </c>
      <c r="AK6" s="16">
        <f t="shared" si="0"/>
        <v>1258.1712</v>
      </c>
      <c r="AL6" s="16">
        <f t="shared" ref="AL6:AL14" si="7">AK6*2/(13.48-0.35)</f>
        <v>191.64831683168316</v>
      </c>
      <c r="AM6" t="s">
        <v>156</v>
      </c>
    </row>
    <row r="7" spans="3:48" x14ac:dyDescent="0.4">
      <c r="D7" s="3" t="s">
        <v>92</v>
      </c>
      <c r="E7" s="3" t="s">
        <v>45</v>
      </c>
      <c r="F7" s="3" t="s">
        <v>47</v>
      </c>
      <c r="G7" s="3" t="s">
        <v>48</v>
      </c>
      <c r="H7" s="3" t="s">
        <v>117</v>
      </c>
      <c r="I7" s="16">
        <f>固定モーメント法!E41*-1</f>
        <v>20.786235489220562</v>
      </c>
      <c r="J7" s="16">
        <f>固定モーメント法!H36*-1</f>
        <v>-22.32193356525643</v>
      </c>
      <c r="K7" s="16">
        <f>固定モーメント法!M41</f>
        <v>41.969897380266588</v>
      </c>
      <c r="L7" s="16">
        <f>固定モーメント法!H38</f>
        <v>34.244031579601767</v>
      </c>
      <c r="M7" s="16">
        <f>固定モーメント法!H39</f>
        <v>41.755968420398233</v>
      </c>
      <c r="N7" s="16">
        <f>D値!F35*-1</f>
        <v>-112.49931004082369</v>
      </c>
      <c r="O7" s="16">
        <f>D値!H34</f>
        <v>86.295634898609521</v>
      </c>
      <c r="P7" s="16">
        <f>D値!G37</f>
        <v>35.247330663020072</v>
      </c>
      <c r="Q7" s="37">
        <f t="shared" si="1"/>
        <v>41.969897380266588</v>
      </c>
      <c r="R7" s="37">
        <f t="shared" si="2"/>
        <v>41.755968420398233</v>
      </c>
      <c r="S7" s="39">
        <f t="shared" si="3"/>
        <v>128.26553227887609</v>
      </c>
      <c r="T7" s="39">
        <f t="shared" si="4"/>
        <v>77.003299083418312</v>
      </c>
      <c r="U7" s="16">
        <f>MAX(Q7*1.5,S7)/0.9</f>
        <v>142.5172580876401</v>
      </c>
      <c r="V7" s="16">
        <v>446</v>
      </c>
      <c r="W7" s="3">
        <v>199</v>
      </c>
      <c r="X7" s="16">
        <v>9</v>
      </c>
      <c r="Y7" s="3">
        <v>14</v>
      </c>
      <c r="Z7" s="3">
        <v>235</v>
      </c>
      <c r="AB7" s="16">
        <v>446</v>
      </c>
      <c r="AC7" s="3">
        <v>199</v>
      </c>
      <c r="AD7" s="16">
        <v>9</v>
      </c>
      <c r="AE7" s="3">
        <v>14</v>
      </c>
      <c r="AF7" s="3">
        <v>235</v>
      </c>
      <c r="AG7" s="3">
        <v>281000000</v>
      </c>
      <c r="AH7" s="32">
        <v>1.2</v>
      </c>
      <c r="AI7" s="16">
        <v>5640</v>
      </c>
      <c r="AJ7" s="15">
        <f t="shared" si="6"/>
        <v>0.59787234042553195</v>
      </c>
      <c r="AK7" s="16">
        <f t="shared" si="0"/>
        <v>311.11819200000002</v>
      </c>
      <c r="AL7" s="16">
        <f>AK7*2/(5.64-0.35)</f>
        <v>117.62502533081286</v>
      </c>
    </row>
    <row r="8" spans="3:48" x14ac:dyDescent="0.4">
      <c r="D8" s="3" t="s">
        <v>92</v>
      </c>
      <c r="E8" s="3" t="s">
        <v>45</v>
      </c>
      <c r="F8" s="3" t="s">
        <v>49</v>
      </c>
      <c r="G8" s="3" t="s">
        <v>50</v>
      </c>
      <c r="H8" s="3" t="s">
        <v>117</v>
      </c>
      <c r="I8" s="16">
        <f>固定モーメント法!N41*-1</f>
        <v>39.308219503983835</v>
      </c>
      <c r="J8" s="16">
        <f>固定モーメント法!P36*-1</f>
        <v>-15.548605378985989</v>
      </c>
      <c r="K8" s="16">
        <f>固定モーメント法!U41</f>
        <v>36.732891861761431</v>
      </c>
      <c r="L8" s="16">
        <f>固定モーメント法!P38</f>
        <v>39.451811867056563</v>
      </c>
      <c r="M8" s="16">
        <f>固定モーメント法!P39</f>
        <v>38.548188132943437</v>
      </c>
      <c r="N8" s="16">
        <f>D値!N35*-1</f>
        <v>-85.432678549623418</v>
      </c>
      <c r="O8" s="16">
        <f>D値!P34</f>
        <v>85.723908714035545</v>
      </c>
      <c r="P8" s="16">
        <f>D値!O37</f>
        <v>30.027471449764729</v>
      </c>
      <c r="Q8" s="37">
        <f t="shared" si="1"/>
        <v>39.308219503983835</v>
      </c>
      <c r="R8" s="37">
        <f t="shared" si="2"/>
        <v>39.451811867056563</v>
      </c>
      <c r="S8" s="39">
        <f t="shared" si="3"/>
        <v>122.45680057579698</v>
      </c>
      <c r="T8" s="39">
        <f t="shared" si="4"/>
        <v>69.479283316821295</v>
      </c>
      <c r="U8" s="16">
        <f t="shared" si="5"/>
        <v>136.06311175088553</v>
      </c>
      <c r="V8" s="16">
        <v>446</v>
      </c>
      <c r="W8" s="3">
        <v>199</v>
      </c>
      <c r="X8" s="16">
        <v>9</v>
      </c>
      <c r="Y8" s="3">
        <v>14</v>
      </c>
      <c r="Z8" s="3">
        <v>235</v>
      </c>
      <c r="AB8" s="16">
        <v>446</v>
      </c>
      <c r="AC8" s="3">
        <v>199</v>
      </c>
      <c r="AD8" s="16">
        <v>9</v>
      </c>
      <c r="AE8" s="3">
        <v>14</v>
      </c>
      <c r="AF8" s="3">
        <v>235</v>
      </c>
      <c r="AG8" s="3">
        <v>281000000</v>
      </c>
      <c r="AH8" s="32">
        <v>1.2</v>
      </c>
      <c r="AI8" s="3">
        <v>5700</v>
      </c>
      <c r="AJ8" s="15">
        <f t="shared" si="6"/>
        <v>0.59157894736842109</v>
      </c>
      <c r="AK8" s="16">
        <f t="shared" si="0"/>
        <v>311.11819200000002</v>
      </c>
      <c r="AL8" s="16">
        <f>AK8*2/(5.64-0.35)</f>
        <v>117.62502533081286</v>
      </c>
    </row>
    <row r="9" spans="3:48" x14ac:dyDescent="0.4">
      <c r="D9" s="3">
        <v>3</v>
      </c>
      <c r="E9" s="3" t="s">
        <v>41</v>
      </c>
      <c r="F9" s="3">
        <v>1</v>
      </c>
      <c r="G9" s="3">
        <v>2</v>
      </c>
      <c r="H9" s="3" t="s">
        <v>116</v>
      </c>
      <c r="I9" s="16">
        <f>固定モーメント法!E19*-1</f>
        <v>324.11732382408991</v>
      </c>
      <c r="J9" s="16">
        <f>固定モーメント法!H14*-1</f>
        <v>-439.88267617591009</v>
      </c>
      <c r="K9" s="16">
        <f>固定モーメント法!M19</f>
        <v>324.11732382408991</v>
      </c>
      <c r="L9" s="3">
        <f>固定モーメント法!H16</f>
        <v>146</v>
      </c>
      <c r="M9" s="16">
        <f>L9</f>
        <v>146</v>
      </c>
      <c r="N9" s="16">
        <f>D値!F13*-1</f>
        <v>-314.89741129800427</v>
      </c>
      <c r="O9" s="16">
        <f>D値!H12</f>
        <v>314.89741129800427</v>
      </c>
      <c r="P9" s="16">
        <f>D値!G15</f>
        <v>46.720684168843363</v>
      </c>
      <c r="Q9" s="37">
        <f t="shared" si="1"/>
        <v>439.88267617591009</v>
      </c>
      <c r="R9" s="37">
        <f t="shared" si="2"/>
        <v>146</v>
      </c>
      <c r="S9" s="39">
        <f>MAX(ABS(J9),K9+O9)</f>
        <v>639.01473512209418</v>
      </c>
      <c r="T9" s="39">
        <f t="shared" si="4"/>
        <v>192.72068416884338</v>
      </c>
      <c r="U9" s="16">
        <f t="shared" si="5"/>
        <v>733.13779362651678</v>
      </c>
      <c r="V9" s="16">
        <v>588</v>
      </c>
      <c r="W9" s="3">
        <v>300</v>
      </c>
      <c r="X9" s="16">
        <v>12</v>
      </c>
      <c r="Y9" s="3">
        <v>20</v>
      </c>
      <c r="Z9" s="16">
        <v>235</v>
      </c>
      <c r="AB9" s="16">
        <v>700</v>
      </c>
      <c r="AC9" s="3">
        <v>300</v>
      </c>
      <c r="AD9" s="16">
        <v>13</v>
      </c>
      <c r="AE9" s="3">
        <v>24</v>
      </c>
      <c r="AF9" s="16">
        <v>235</v>
      </c>
      <c r="AG9" s="16">
        <v>1970000000</v>
      </c>
      <c r="AH9" s="32">
        <v>1.5</v>
      </c>
      <c r="AI9" s="16">
        <v>13480</v>
      </c>
      <c r="AJ9" s="15">
        <f t="shared" si="6"/>
        <v>2.1921364985163203</v>
      </c>
      <c r="AK9" s="16">
        <f t="shared" si="0"/>
        <v>1258.1712</v>
      </c>
      <c r="AL9" s="16">
        <f>AK9*2/(13.48-0.35)</f>
        <v>191.64831683168316</v>
      </c>
      <c r="AM9" t="s">
        <v>156</v>
      </c>
    </row>
    <row r="10" spans="3:48" x14ac:dyDescent="0.4">
      <c r="D10" s="3">
        <v>3</v>
      </c>
      <c r="E10" s="3" t="s">
        <v>40</v>
      </c>
      <c r="F10" s="3">
        <v>1</v>
      </c>
      <c r="G10" s="3">
        <v>2</v>
      </c>
      <c r="H10" s="3" t="s">
        <v>116</v>
      </c>
      <c r="I10" s="16">
        <f>固定モーメント法!S19*-1</f>
        <v>231.52630670046091</v>
      </c>
      <c r="J10" s="16">
        <f>固定モーメント法!V14*-1</f>
        <v>-259.47369329953909</v>
      </c>
      <c r="K10" s="16">
        <f>固定モーメント法!AA19</f>
        <v>231.52630670046091</v>
      </c>
      <c r="L10" s="3">
        <f>固定モーメント法!V16</f>
        <v>228</v>
      </c>
      <c r="M10" s="16">
        <f>L10</f>
        <v>228</v>
      </c>
      <c r="N10" s="16">
        <f>D値!T13*-1</f>
        <v>-287.17138305299363</v>
      </c>
      <c r="O10" s="16">
        <f>D値!V12</f>
        <v>287.17138305299363</v>
      </c>
      <c r="P10" s="16">
        <f>D値!U15</f>
        <v>42.607030126556914</v>
      </c>
      <c r="Q10" s="37">
        <f t="shared" si="1"/>
        <v>259.47369329953909</v>
      </c>
      <c r="R10" s="37">
        <f t="shared" si="2"/>
        <v>228</v>
      </c>
      <c r="S10" s="39">
        <f t="shared" si="3"/>
        <v>518.6976897534546</v>
      </c>
      <c r="T10" s="39">
        <f t="shared" si="4"/>
        <v>270.60703012655694</v>
      </c>
      <c r="U10" s="16">
        <f t="shared" si="5"/>
        <v>576.33076639272736</v>
      </c>
      <c r="V10" s="16">
        <v>488</v>
      </c>
      <c r="W10" s="3">
        <v>300</v>
      </c>
      <c r="X10" s="16">
        <v>11</v>
      </c>
      <c r="Y10" s="3">
        <v>18</v>
      </c>
      <c r="Z10" s="16">
        <v>235</v>
      </c>
      <c r="AB10" s="16">
        <v>700</v>
      </c>
      <c r="AC10" s="3">
        <v>300</v>
      </c>
      <c r="AD10" s="16">
        <v>13</v>
      </c>
      <c r="AE10" s="3">
        <v>24</v>
      </c>
      <c r="AF10" s="16">
        <v>235</v>
      </c>
      <c r="AG10" s="16">
        <v>1970000000</v>
      </c>
      <c r="AH10" s="32">
        <v>1.2</v>
      </c>
      <c r="AI10" s="16">
        <v>13480</v>
      </c>
      <c r="AJ10" s="15">
        <f t="shared" si="6"/>
        <v>1.7537091988130562</v>
      </c>
      <c r="AK10" s="16">
        <f t="shared" si="0"/>
        <v>1258.1712</v>
      </c>
      <c r="AL10" s="16">
        <f t="shared" si="7"/>
        <v>191.64831683168316</v>
      </c>
      <c r="AM10" t="s">
        <v>156</v>
      </c>
      <c r="AP10" t="s">
        <v>147</v>
      </c>
      <c r="AQ10" t="s">
        <v>148</v>
      </c>
      <c r="AR10" t="s">
        <v>149</v>
      </c>
      <c r="AS10" t="s">
        <v>150</v>
      </c>
      <c r="AU10" t="s">
        <v>162</v>
      </c>
    </row>
    <row r="11" spans="3:48" x14ac:dyDescent="0.4">
      <c r="D11" s="3">
        <v>3</v>
      </c>
      <c r="E11" s="3" t="s">
        <v>45</v>
      </c>
      <c r="F11" s="3" t="s">
        <v>47</v>
      </c>
      <c r="G11" s="3" t="s">
        <v>48</v>
      </c>
      <c r="H11" s="3" t="s">
        <v>117</v>
      </c>
      <c r="I11" s="16">
        <f>固定モーメント法!E50*-1</f>
        <v>27.711342036683753</v>
      </c>
      <c r="J11" s="16">
        <f>固定モーメント法!H45*-1</f>
        <v>-18.13640181584298</v>
      </c>
      <c r="K11" s="16">
        <f>固定モーメント法!M50</f>
        <v>38.615854331630281</v>
      </c>
      <c r="L11" s="16">
        <f>固定モーメント法!H47</f>
        <v>34.56657583422934</v>
      </c>
      <c r="M11" s="16">
        <f>固定モーメント法!H48</f>
        <v>38.43342416577066</v>
      </c>
      <c r="N11" s="16">
        <f>D値!F44*-1</f>
        <v>-238.43627808995564</v>
      </c>
      <c r="O11" s="16">
        <f>D値!H43</f>
        <v>193.2344141332934</v>
      </c>
      <c r="P11" s="16">
        <f>D値!G46</f>
        <v>76.537356777171823</v>
      </c>
      <c r="Q11" s="37">
        <f t="shared" si="1"/>
        <v>38.615854331630281</v>
      </c>
      <c r="R11" s="37">
        <f t="shared" si="2"/>
        <v>38.43342416577066</v>
      </c>
      <c r="S11" s="39">
        <f t="shared" si="3"/>
        <v>231.85026846492369</v>
      </c>
      <c r="T11" s="39">
        <f t="shared" si="4"/>
        <v>114.97078094294248</v>
      </c>
      <c r="U11" s="16">
        <f t="shared" si="5"/>
        <v>257.61140940547074</v>
      </c>
      <c r="V11" s="16">
        <v>450</v>
      </c>
      <c r="W11" s="3">
        <v>200</v>
      </c>
      <c r="X11" s="16">
        <v>9</v>
      </c>
      <c r="Y11" s="3">
        <v>14</v>
      </c>
      <c r="Z11" s="16">
        <v>235</v>
      </c>
      <c r="AB11" s="16">
        <v>450</v>
      </c>
      <c r="AC11" s="3">
        <v>200</v>
      </c>
      <c r="AD11" s="16">
        <v>9</v>
      </c>
      <c r="AE11" s="3">
        <v>14</v>
      </c>
      <c r="AF11" s="16">
        <v>235</v>
      </c>
      <c r="AG11" s="16">
        <v>329000000</v>
      </c>
      <c r="AH11" s="32">
        <v>1.2</v>
      </c>
      <c r="AI11" s="16">
        <v>5640</v>
      </c>
      <c r="AJ11" s="15">
        <f t="shared" si="6"/>
        <v>0.7</v>
      </c>
      <c r="AK11" s="16">
        <f t="shared" si="0"/>
        <v>315.57679999999999</v>
      </c>
      <c r="AL11" s="16">
        <f>AK11*2/(5.64-0.35)</f>
        <v>119.31069943289225</v>
      </c>
      <c r="AO11">
        <v>3</v>
      </c>
      <c r="AP11" s="18">
        <f>M23+AL5</f>
        <v>493.64831683168313</v>
      </c>
      <c r="AQ11" s="18">
        <f>M21+AL7</f>
        <v>267.12502533081283</v>
      </c>
      <c r="AR11" s="18">
        <f>AK5</f>
        <v>1258.1712</v>
      </c>
      <c r="AS11" s="18">
        <f>AK7*2</f>
        <v>622.23638400000004</v>
      </c>
      <c r="AT11" t="s">
        <v>151</v>
      </c>
      <c r="AU11">
        <v>639</v>
      </c>
    </row>
    <row r="12" spans="3:48" x14ac:dyDescent="0.4">
      <c r="D12" s="3">
        <v>3</v>
      </c>
      <c r="E12" s="3" t="s">
        <v>45</v>
      </c>
      <c r="F12" s="3" t="s">
        <v>49</v>
      </c>
      <c r="G12" s="3" t="s">
        <v>50</v>
      </c>
      <c r="H12" s="3" t="s">
        <v>117</v>
      </c>
      <c r="I12" s="16">
        <f>固定モーメント法!N50*-1</f>
        <v>36.271304211686029</v>
      </c>
      <c r="J12" s="16">
        <f>固定モーメント法!P45*-1</f>
        <v>-15.542072204469868</v>
      </c>
      <c r="K12" s="3">
        <f>固定モーメント法!U50</f>
        <v>35.10000125942998</v>
      </c>
      <c r="L12" s="16">
        <f>固定モーメント法!P47</f>
        <v>37.205491746009834</v>
      </c>
      <c r="M12" s="16">
        <f>固定モーメント法!P48</f>
        <v>36.794508253990166</v>
      </c>
      <c r="N12" s="16">
        <f>D値!N44*-1</f>
        <v>-191.30206999196045</v>
      </c>
      <c r="O12" s="16">
        <f>D値!P43</f>
        <v>191.70575308997851</v>
      </c>
      <c r="P12" s="16">
        <f>D値!O46</f>
        <v>67.194354926655961</v>
      </c>
      <c r="Q12" s="37">
        <f t="shared" si="1"/>
        <v>36.271304211686029</v>
      </c>
      <c r="R12" s="37">
        <f t="shared" si="2"/>
        <v>37.205491746009834</v>
      </c>
      <c r="S12" s="39">
        <f t="shared" si="3"/>
        <v>226.80575434940849</v>
      </c>
      <c r="T12" s="39">
        <f t="shared" si="4"/>
        <v>104.3998466726658</v>
      </c>
      <c r="U12" s="16">
        <f t="shared" si="5"/>
        <v>252.00639372156499</v>
      </c>
      <c r="V12" s="16">
        <v>450</v>
      </c>
      <c r="W12" s="3">
        <v>200</v>
      </c>
      <c r="X12" s="16">
        <v>9</v>
      </c>
      <c r="Y12" s="3">
        <v>14</v>
      </c>
      <c r="Z12" s="16">
        <v>235</v>
      </c>
      <c r="AB12" s="16">
        <v>450</v>
      </c>
      <c r="AC12" s="3">
        <v>200</v>
      </c>
      <c r="AD12" s="16">
        <v>9</v>
      </c>
      <c r="AE12" s="3">
        <v>14</v>
      </c>
      <c r="AF12" s="16">
        <v>235</v>
      </c>
      <c r="AG12" s="16">
        <v>329000000</v>
      </c>
      <c r="AH12" s="32">
        <v>1.2</v>
      </c>
      <c r="AI12" s="3">
        <v>5700</v>
      </c>
      <c r="AJ12" s="15">
        <f t="shared" si="6"/>
        <v>0.69263157894736838</v>
      </c>
      <c r="AK12" s="16">
        <f t="shared" si="0"/>
        <v>315.57679999999999</v>
      </c>
      <c r="AL12" s="16">
        <f>AK12*2/(5.64-0.35)</f>
        <v>119.31069943289225</v>
      </c>
      <c r="AO12">
        <v>2</v>
      </c>
      <c r="AP12" s="18">
        <f>M26+AL5+AL9</f>
        <v>985.79663366336626</v>
      </c>
      <c r="AQ12" s="18">
        <f>M24+AL7+AL11</f>
        <v>535.43572476370514</v>
      </c>
      <c r="AR12" s="18">
        <f>AK9</f>
        <v>1258.1712</v>
      </c>
      <c r="AS12" s="18">
        <f>AK11*2</f>
        <v>631.15359999999998</v>
      </c>
      <c r="AT12" t="s">
        <v>151</v>
      </c>
      <c r="AU12">
        <v>639</v>
      </c>
      <c r="AV12">
        <f>AU12+AU11</f>
        <v>1278</v>
      </c>
    </row>
    <row r="13" spans="3:48" x14ac:dyDescent="0.4">
      <c r="D13" s="3">
        <v>2</v>
      </c>
      <c r="E13" s="3" t="s">
        <v>41</v>
      </c>
      <c r="F13" s="3">
        <v>1</v>
      </c>
      <c r="G13" s="3">
        <v>2</v>
      </c>
      <c r="H13" s="3" t="s">
        <v>116</v>
      </c>
      <c r="I13" s="16">
        <f>固定モーメント法!E28*-1</f>
        <v>281.06321763633497</v>
      </c>
      <c r="J13" s="16">
        <f>固定モーメント法!H23*-1</f>
        <v>-482.93678236366503</v>
      </c>
      <c r="K13" s="16">
        <f>固定モーメント法!M28</f>
        <v>281.06321763633497</v>
      </c>
      <c r="L13" s="3">
        <f>固定モーメント法!H25</f>
        <v>147</v>
      </c>
      <c r="M13" s="16">
        <f>L13</f>
        <v>147</v>
      </c>
      <c r="N13" s="16">
        <f>D値!F22*-1</f>
        <v>-469.55938575293476</v>
      </c>
      <c r="O13" s="16">
        <f>D値!H21</f>
        <v>469.55938575293476</v>
      </c>
      <c r="P13" s="16">
        <f>D値!G24</f>
        <v>69.667564651770732</v>
      </c>
      <c r="Q13" s="37">
        <f>MAX(ABS(I13),ABS(J13),ABS(K13))</f>
        <v>482.93678236366503</v>
      </c>
      <c r="R13" s="37">
        <f t="shared" si="2"/>
        <v>147</v>
      </c>
      <c r="S13" s="39">
        <f>MAX(ABS(J13),K13+O13)</f>
        <v>750.62260338926967</v>
      </c>
      <c r="T13" s="39">
        <f t="shared" si="4"/>
        <v>216.66756465177073</v>
      </c>
      <c r="U13" s="16">
        <f t="shared" si="5"/>
        <v>834.02511487696631</v>
      </c>
      <c r="V13" s="16">
        <v>588</v>
      </c>
      <c r="W13" s="3">
        <v>300</v>
      </c>
      <c r="X13" s="16">
        <v>12</v>
      </c>
      <c r="Y13" s="3">
        <v>20</v>
      </c>
      <c r="Z13" s="16">
        <v>325</v>
      </c>
      <c r="AB13" s="16">
        <v>700</v>
      </c>
      <c r="AC13" s="3">
        <v>300</v>
      </c>
      <c r="AD13" s="16">
        <v>13</v>
      </c>
      <c r="AE13" s="3">
        <v>24</v>
      </c>
      <c r="AF13" s="16">
        <v>235</v>
      </c>
      <c r="AG13" s="16">
        <v>1970000000</v>
      </c>
      <c r="AH13" s="32">
        <v>1.5</v>
      </c>
      <c r="AI13" s="16">
        <v>13480</v>
      </c>
      <c r="AJ13" s="15">
        <f t="shared" si="6"/>
        <v>2.1921364985163203</v>
      </c>
      <c r="AK13" s="16">
        <f t="shared" si="0"/>
        <v>1258.1712</v>
      </c>
      <c r="AL13" s="16">
        <f>AK13*2/(13.48-0.35)</f>
        <v>191.64831683168316</v>
      </c>
      <c r="AM13" t="s">
        <v>156</v>
      </c>
      <c r="AO13">
        <v>1</v>
      </c>
      <c r="AP13" s="18">
        <f>M29+AL5+AL9+AL13</f>
        <v>1479.9449504950494</v>
      </c>
      <c r="AQ13" s="18">
        <f>M29</f>
        <v>905</v>
      </c>
      <c r="AR13" s="18">
        <f>AK13</f>
        <v>1258.1712</v>
      </c>
      <c r="AS13" s="18">
        <f>AK16*2</f>
        <v>800.72960000000012</v>
      </c>
      <c r="AT13" t="s">
        <v>118</v>
      </c>
      <c r="AU13">
        <v>821</v>
      </c>
      <c r="AV13">
        <f>AU13+AU12</f>
        <v>1460</v>
      </c>
    </row>
    <row r="14" spans="3:48" x14ac:dyDescent="0.4">
      <c r="D14" s="3">
        <v>2</v>
      </c>
      <c r="E14" s="3" t="s">
        <v>40</v>
      </c>
      <c r="F14" s="3">
        <v>1</v>
      </c>
      <c r="G14" s="3">
        <v>2</v>
      </c>
      <c r="H14" s="3" t="s">
        <v>116</v>
      </c>
      <c r="I14" s="16">
        <f>固定モーメント法!S28*-1</f>
        <v>202.26593628565598</v>
      </c>
      <c r="J14" s="16">
        <f>固定モーメント法!V23*-1</f>
        <v>-293.73406371434402</v>
      </c>
      <c r="K14" s="16">
        <f>固定モーメント法!AA28</f>
        <v>202.26593628565598</v>
      </c>
      <c r="L14" s="3">
        <f>固定モーメント法!V25</f>
        <v>228</v>
      </c>
      <c r="M14" s="16">
        <f>L14</f>
        <v>228</v>
      </c>
      <c r="N14" s="16">
        <f>D値!T22*-1</f>
        <v>-435.74842137059773</v>
      </c>
      <c r="O14" s="16">
        <f>D値!V21</f>
        <v>435.74842137059773</v>
      </c>
      <c r="P14" s="16">
        <f>D値!U24</f>
        <v>64.651101093560484</v>
      </c>
      <c r="Q14" s="37">
        <f t="shared" si="1"/>
        <v>293.73406371434402</v>
      </c>
      <c r="R14" s="37">
        <f t="shared" si="2"/>
        <v>228</v>
      </c>
      <c r="S14" s="39">
        <f>MAX(ABS(J14),K14+O14)</f>
        <v>638.01435765625365</v>
      </c>
      <c r="T14" s="39">
        <f t="shared" si="4"/>
        <v>292.6511010935605</v>
      </c>
      <c r="U14" s="16">
        <f t="shared" si="5"/>
        <v>708.90484184028185</v>
      </c>
      <c r="V14" s="16">
        <v>588</v>
      </c>
      <c r="W14" s="3">
        <v>300</v>
      </c>
      <c r="X14" s="16">
        <v>12</v>
      </c>
      <c r="Y14" s="3">
        <v>20</v>
      </c>
      <c r="Z14" s="16">
        <v>235</v>
      </c>
      <c r="AB14" s="16">
        <v>700</v>
      </c>
      <c r="AC14" s="3">
        <v>300</v>
      </c>
      <c r="AD14" s="16">
        <v>13</v>
      </c>
      <c r="AE14" s="3">
        <v>24</v>
      </c>
      <c r="AF14" s="16">
        <v>235</v>
      </c>
      <c r="AG14" s="16">
        <v>1970000000</v>
      </c>
      <c r="AH14" s="32">
        <v>1.2</v>
      </c>
      <c r="AI14" s="16">
        <v>13480</v>
      </c>
      <c r="AJ14" s="15">
        <f t="shared" si="6"/>
        <v>1.7537091988130562</v>
      </c>
      <c r="AK14" s="16">
        <f t="shared" si="0"/>
        <v>1258.1712</v>
      </c>
      <c r="AL14" s="16">
        <f t="shared" si="7"/>
        <v>191.64831683168316</v>
      </c>
      <c r="AM14" t="s">
        <v>156</v>
      </c>
    </row>
    <row r="15" spans="3:48" x14ac:dyDescent="0.4">
      <c r="D15" s="3">
        <v>2</v>
      </c>
      <c r="E15" s="3" t="s">
        <v>45</v>
      </c>
      <c r="F15" s="3" t="s">
        <v>47</v>
      </c>
      <c r="G15" s="3" t="s">
        <v>48</v>
      </c>
      <c r="H15" s="3" t="s">
        <v>117</v>
      </c>
      <c r="I15" s="16">
        <f>固定モーメント法!E59*-1</f>
        <v>24.686913394202641</v>
      </c>
      <c r="J15" s="16">
        <f>固定モーメント法!H54*-1</f>
        <v>-20.050791777555766</v>
      </c>
      <c r="K15" s="16">
        <f>固定モーメント法!M59</f>
        <v>39.411503050685837</v>
      </c>
      <c r="L15" s="16">
        <f>固定モーメント法!H56</f>
        <v>34.389257153105817</v>
      </c>
      <c r="M15" s="16">
        <f>固定モーメント法!H57</f>
        <v>39.610742846894183</v>
      </c>
      <c r="N15" s="16">
        <f>D値!F53*-1</f>
        <v>-273.63244112568555</v>
      </c>
      <c r="O15" s="16">
        <f>D値!H52</f>
        <v>241.92156419155057</v>
      </c>
      <c r="P15" s="16">
        <f>D値!G55</f>
        <v>91.410284630715637</v>
      </c>
      <c r="Q15" s="37">
        <f t="shared" si="1"/>
        <v>39.411503050685837</v>
      </c>
      <c r="R15" s="37">
        <f t="shared" si="2"/>
        <v>39.610742846894183</v>
      </c>
      <c r="S15" s="39">
        <f t="shared" si="3"/>
        <v>281.33306724223644</v>
      </c>
      <c r="T15" s="39">
        <f t="shared" si="4"/>
        <v>131.02102747760983</v>
      </c>
      <c r="U15" s="16">
        <f>MAX(Q15*1.5,S15)/0.9</f>
        <v>312.59229693581824</v>
      </c>
      <c r="V15" s="16">
        <v>500</v>
      </c>
      <c r="W15" s="3">
        <v>200</v>
      </c>
      <c r="X15" s="16">
        <v>10</v>
      </c>
      <c r="Y15" s="3">
        <v>16</v>
      </c>
      <c r="Z15" s="16">
        <v>235</v>
      </c>
      <c r="AB15" s="16">
        <v>500</v>
      </c>
      <c r="AC15" s="3">
        <v>200</v>
      </c>
      <c r="AD15" s="16">
        <v>10</v>
      </c>
      <c r="AE15" s="3">
        <v>16</v>
      </c>
      <c r="AF15" s="16">
        <v>235</v>
      </c>
      <c r="AG15" s="16">
        <v>468000000</v>
      </c>
      <c r="AH15" s="32">
        <v>1.2</v>
      </c>
      <c r="AI15" s="16">
        <v>5640</v>
      </c>
      <c r="AJ15" s="15">
        <f t="shared" si="6"/>
        <v>0.99574468085106393</v>
      </c>
      <c r="AK15" s="16">
        <f t="shared" si="0"/>
        <v>400.36480000000006</v>
      </c>
      <c r="AL15" s="16">
        <f>AK15*2/(5.64-0.35)</f>
        <v>151.36665406427224</v>
      </c>
    </row>
    <row r="16" spans="3:48" x14ac:dyDescent="0.4">
      <c r="D16" s="3">
        <v>2</v>
      </c>
      <c r="E16" s="3" t="s">
        <v>45</v>
      </c>
      <c r="F16" s="3" t="s">
        <v>49</v>
      </c>
      <c r="G16" s="3" t="s">
        <v>50</v>
      </c>
      <c r="H16" s="3" t="s">
        <v>117</v>
      </c>
      <c r="I16" s="16">
        <f>固定モーメント法!N59*-1</f>
        <v>36.874611979821012</v>
      </c>
      <c r="J16" s="16">
        <f>固定モーメント法!P54*-1</f>
        <v>-15.69937611491892</v>
      </c>
      <c r="K16" s="16">
        <f>固定モーメント法!U59</f>
        <v>35.589744719476322</v>
      </c>
      <c r="L16" s="16">
        <f>固定モーメント法!P56</f>
        <v>37.725415308832403</v>
      </c>
      <c r="M16" s="16">
        <f>固定モーメント法!P57</f>
        <v>37.274584691167597</v>
      </c>
      <c r="N16" s="16">
        <f>D値!N53*-1</f>
        <v>-239.50234854963506</v>
      </c>
      <c r="O16" s="16">
        <f>D値!P52</f>
        <v>240.31615048839268</v>
      </c>
      <c r="P16" s="16">
        <f>D値!O55</f>
        <v>84.178684041759254</v>
      </c>
      <c r="Q16" s="37">
        <f t="shared" si="1"/>
        <v>36.874611979821012</v>
      </c>
      <c r="R16" s="37">
        <f t="shared" si="2"/>
        <v>37.725415308832403</v>
      </c>
      <c r="S16" s="39">
        <f t="shared" si="3"/>
        <v>275.90589520786898</v>
      </c>
      <c r="T16" s="39">
        <f t="shared" si="4"/>
        <v>121.90409935059165</v>
      </c>
      <c r="U16" s="16">
        <f>MAX(Q16*1.5,S16)/0.9</f>
        <v>306.5621057865211</v>
      </c>
      <c r="V16" s="16">
        <v>500</v>
      </c>
      <c r="W16" s="3">
        <v>200</v>
      </c>
      <c r="X16" s="16">
        <v>10</v>
      </c>
      <c r="Y16" s="3">
        <v>16</v>
      </c>
      <c r="Z16" s="16">
        <v>235</v>
      </c>
      <c r="AB16" s="16">
        <v>500</v>
      </c>
      <c r="AC16" s="3">
        <v>200</v>
      </c>
      <c r="AD16" s="16">
        <v>10</v>
      </c>
      <c r="AE16" s="3">
        <v>16</v>
      </c>
      <c r="AF16" s="16">
        <v>235</v>
      </c>
      <c r="AG16" s="16">
        <v>468000000</v>
      </c>
      <c r="AH16" s="32">
        <v>1.2</v>
      </c>
      <c r="AI16" s="3">
        <v>5700</v>
      </c>
      <c r="AJ16" s="15">
        <f t="shared" si="6"/>
        <v>0.98526315789473684</v>
      </c>
      <c r="AK16" s="16">
        <f t="shared" si="0"/>
        <v>400.36480000000006</v>
      </c>
      <c r="AL16" s="16">
        <f>AK16*2/(5.64-0.35)</f>
        <v>151.36665406427224</v>
      </c>
    </row>
    <row r="17" spans="3:42" x14ac:dyDescent="0.4">
      <c r="M17" s="18"/>
    </row>
    <row r="19" spans="3:42" x14ac:dyDescent="0.4">
      <c r="C19" t="s">
        <v>62</v>
      </c>
      <c r="D19" s="58" t="s">
        <v>39</v>
      </c>
      <c r="E19" s="58" t="s">
        <v>42</v>
      </c>
      <c r="F19" s="58" t="s">
        <v>43</v>
      </c>
      <c r="G19" s="57" t="s">
        <v>115</v>
      </c>
      <c r="H19" s="57"/>
      <c r="I19" s="54" t="s">
        <v>52</v>
      </c>
      <c r="J19" s="55"/>
      <c r="K19" s="55"/>
      <c r="L19" s="55"/>
      <c r="M19" s="55"/>
      <c r="N19" s="55"/>
      <c r="O19" s="55"/>
      <c r="P19" s="55"/>
      <c r="Q19" s="56"/>
      <c r="R19" s="54" t="s">
        <v>78</v>
      </c>
      <c r="S19" s="55"/>
      <c r="T19" s="55"/>
      <c r="U19" s="56"/>
      <c r="V19" s="54" t="s">
        <v>79</v>
      </c>
      <c r="W19" s="55"/>
      <c r="X19" s="55"/>
      <c r="Y19" s="56"/>
      <c r="Z19" s="53" t="s">
        <v>52</v>
      </c>
      <c r="AA19" s="53"/>
      <c r="AB19" s="53"/>
      <c r="AC19" s="53"/>
      <c r="AD19" s="53"/>
      <c r="AE19" s="52" t="s">
        <v>59</v>
      </c>
      <c r="AF19" s="52"/>
      <c r="AG19" s="52"/>
      <c r="AH19" s="52"/>
      <c r="AI19" s="52"/>
      <c r="AJ19" s="52"/>
      <c r="AK19" t="s">
        <v>152</v>
      </c>
      <c r="AL19" t="s">
        <v>153</v>
      </c>
      <c r="AM19" t="s">
        <v>154</v>
      </c>
    </row>
    <row r="20" spans="3:42" x14ac:dyDescent="0.4">
      <c r="D20" s="59"/>
      <c r="E20" s="59"/>
      <c r="F20" s="59"/>
      <c r="G20" s="57"/>
      <c r="H20" s="57"/>
      <c r="I20" s="35" t="s">
        <v>67</v>
      </c>
      <c r="J20" s="35" t="s">
        <v>68</v>
      </c>
      <c r="K20" s="35" t="s">
        <v>69</v>
      </c>
      <c r="L20" s="35" t="s">
        <v>70</v>
      </c>
      <c r="M20" s="35" t="s">
        <v>63</v>
      </c>
      <c r="N20" s="35" t="s">
        <v>71</v>
      </c>
      <c r="O20" s="35" t="s">
        <v>72</v>
      </c>
      <c r="P20" s="35" t="s">
        <v>73</v>
      </c>
      <c r="Q20" s="35" t="s">
        <v>74</v>
      </c>
      <c r="R20" s="35" t="s">
        <v>67</v>
      </c>
      <c r="S20" s="35" t="s">
        <v>68</v>
      </c>
      <c r="T20" s="35" t="s">
        <v>85</v>
      </c>
      <c r="U20" s="35" t="s">
        <v>76</v>
      </c>
      <c r="V20" s="35" t="s">
        <v>71</v>
      </c>
      <c r="W20" s="35" t="s">
        <v>72</v>
      </c>
      <c r="X20" s="35" t="s">
        <v>75</v>
      </c>
      <c r="Y20" s="35" t="s">
        <v>77</v>
      </c>
      <c r="Z20" s="36" t="s">
        <v>83</v>
      </c>
      <c r="AA20" s="36" t="s">
        <v>84</v>
      </c>
      <c r="AB20" s="36" t="s">
        <v>85</v>
      </c>
      <c r="AC20" s="36" t="s">
        <v>75</v>
      </c>
      <c r="AD20" s="36" t="s">
        <v>63</v>
      </c>
      <c r="AE20" s="38" t="s">
        <v>86</v>
      </c>
      <c r="AF20" s="38" t="s">
        <v>87</v>
      </c>
      <c r="AG20" s="38" t="s">
        <v>89</v>
      </c>
      <c r="AH20" s="38" t="s">
        <v>90</v>
      </c>
      <c r="AI20" s="38" t="s">
        <v>91</v>
      </c>
      <c r="AJ20" s="38" t="s">
        <v>88</v>
      </c>
    </row>
    <row r="21" spans="3:42" x14ac:dyDescent="0.4">
      <c r="D21" s="3">
        <v>3</v>
      </c>
      <c r="E21" s="3" t="s">
        <v>40</v>
      </c>
      <c r="F21" s="3" t="s">
        <v>45</v>
      </c>
      <c r="G21" s="54" t="s">
        <v>118</v>
      </c>
      <c r="H21" s="56"/>
      <c r="I21" s="16">
        <f>固定モーメント法!Q10</f>
        <v>153.61601701937127</v>
      </c>
      <c r="J21" s="16">
        <f>固定モーメント法!Q19*-1</f>
        <v>-121.56919640058672</v>
      </c>
      <c r="K21" s="16">
        <f>(I21-J21)/3.7</f>
        <v>74.374382005394054</v>
      </c>
      <c r="L21" s="16">
        <f t="shared" ref="L21:L29" si="8">K21</f>
        <v>74.374382005394054</v>
      </c>
      <c r="M21" s="16">
        <f>299/2</f>
        <v>149.5</v>
      </c>
      <c r="N21" s="16">
        <f>固定モーメント法!C41</f>
        <v>20.786235489220566</v>
      </c>
      <c r="O21" s="16">
        <f>固定モーメント法!C50*-1</f>
        <v>-15.446818773301413</v>
      </c>
      <c r="P21" s="16">
        <f t="shared" ref="P21" si="9">ABS((N21-O21)/3.7)</f>
        <v>9.7927173682491819</v>
      </c>
      <c r="Q21" s="16">
        <f>P21</f>
        <v>9.7927173682491819</v>
      </c>
      <c r="R21" s="16">
        <f>D値!Q5*-1</f>
        <v>-126.51628856895368</v>
      </c>
      <c r="S21" s="16">
        <f>D値!Q10</f>
        <v>103.5133270109621</v>
      </c>
      <c r="T21" s="16">
        <f>(S21-R21)/3.7</f>
        <v>62.170166372950213</v>
      </c>
      <c r="U21" s="16">
        <f>D値!S10</f>
        <v>18.770962695690457</v>
      </c>
      <c r="V21" s="16">
        <f>D値!C36*-1</f>
        <v>-112.49931004082369</v>
      </c>
      <c r="W21" s="16">
        <f>D値!C41</f>
        <v>74.999540027215787</v>
      </c>
      <c r="X21" s="16">
        <f>(W21-V21)/3.7</f>
        <v>50.675364883253913</v>
      </c>
      <c r="Y21" s="16">
        <f>D値!E41</f>
        <v>35.247330663020072</v>
      </c>
      <c r="Z21" s="37">
        <f t="shared" ref="Z21:Z29" si="10">MAX(ABS(I21),ABS(J21))</f>
        <v>153.61601701937127</v>
      </c>
      <c r="AA21" s="37">
        <f>MAX(ABS(N21),ABS(O21))</f>
        <v>20.786235489220566</v>
      </c>
      <c r="AB21" s="37">
        <f>K21</f>
        <v>74.374382005394054</v>
      </c>
      <c r="AC21" s="37">
        <f>P21</f>
        <v>9.7927173682491819</v>
      </c>
      <c r="AD21" s="37">
        <f t="shared" ref="AD21:AD29" si="11">M21</f>
        <v>149.5</v>
      </c>
      <c r="AE21" s="39">
        <f>Z21+MAX(ABS(R21),ABS(S21))</f>
        <v>280.13230558832493</v>
      </c>
      <c r="AF21" s="39">
        <f>AB21+T21</f>
        <v>136.54454837834427</v>
      </c>
      <c r="AG21" s="39">
        <f>AD21+U21</f>
        <v>168.27096269569046</v>
      </c>
      <c r="AH21" s="39">
        <f>AA21+MAX(ABS(V21),ABS(W21))</f>
        <v>133.28554553004426</v>
      </c>
      <c r="AI21" s="39">
        <f>AC21+X21</f>
        <v>60.468082251503091</v>
      </c>
      <c r="AJ21" s="39">
        <f>AD21+ABS(Y21)</f>
        <v>184.74733066302008</v>
      </c>
      <c r="AK21" s="27">
        <f>(0.75*(Z21+AA21)*10^6/350^2/(295/1.5)+AD21*1000/(4*350)/(295/1.5*0.9))*1.1</f>
        <v>6.6359067214403078</v>
      </c>
      <c r="AL21" s="27">
        <f>(0.75*AE21*10^6/350^2/295+AG21*1000/(4*350)/(295*0.9))*1.1</f>
        <v>6.8932493042404861</v>
      </c>
      <c r="AM21" s="27">
        <f>(0.75*(AB21+AC21)*10^6/350^2/(295/1.5)+AF21*1000/(4*350)/(295/1.5*0.9))*1.1</f>
        <v>3.4883654590727891</v>
      </c>
      <c r="AP21" t="s">
        <v>151</v>
      </c>
    </row>
    <row r="22" spans="3:42" x14ac:dyDescent="0.4">
      <c r="D22" s="3">
        <v>3</v>
      </c>
      <c r="E22" s="3" t="s">
        <v>46</v>
      </c>
      <c r="F22" s="3" t="s">
        <v>45</v>
      </c>
      <c r="G22" s="54" t="s">
        <v>118</v>
      </c>
      <c r="H22" s="56"/>
      <c r="I22" s="16">
        <f>固定モーメント法!C10</f>
        <v>200.01486838569724</v>
      </c>
      <c r="J22" s="16">
        <f>固定モーメント法!C19*-1</f>
        <v>-167.6877586700933</v>
      </c>
      <c r="K22" s="16">
        <f>(I22-J22)/3.7</f>
        <v>99.379088393456911</v>
      </c>
      <c r="L22" s="16">
        <f>K22</f>
        <v>99.379088393456911</v>
      </c>
      <c r="M22" s="3">
        <v>300</v>
      </c>
      <c r="N22" s="16">
        <f>固定モーメント法!K41</f>
        <v>-2.6616778762827455</v>
      </c>
      <c r="O22" s="16">
        <f>固定モーメント法!K50*-1</f>
        <v>1.1623204583867557</v>
      </c>
      <c r="P22" s="16">
        <f>ABS((N22-O22)/3.7)</f>
        <v>1.0335130634241896</v>
      </c>
      <c r="Q22" s="16">
        <f t="shared" ref="Q22:Q29" si="12">P22</f>
        <v>1.0335130634241896</v>
      </c>
      <c r="R22" s="16">
        <f>D値!C5*-1</f>
        <v>-138.82747428736425</v>
      </c>
      <c r="S22" s="16">
        <f>D値!C10</f>
        <v>113.58611532602529</v>
      </c>
      <c r="T22" s="16">
        <f>(S22-R22)/3.7</f>
        <v>68.219889084699872</v>
      </c>
      <c r="U22" s="16">
        <f>D値!E10</f>
        <v>20.597548113852262</v>
      </c>
      <c r="V22" s="16">
        <f>D値!K36*-1</f>
        <v>-171.72831344823294</v>
      </c>
      <c r="W22" s="16">
        <f>D値!K41</f>
        <v>139.65575445427464</v>
      </c>
      <c r="X22" s="16">
        <f>(W22-V22)/3.7</f>
        <v>84.157856189866905</v>
      </c>
      <c r="Y22" s="16">
        <f>D値!M41</f>
        <v>-5.2198592132553436</v>
      </c>
      <c r="Z22" s="37">
        <f t="shared" si="10"/>
        <v>200.01486838569724</v>
      </c>
      <c r="AA22" s="37">
        <f t="shared" ref="AA22:AA29" si="13">MAX(ABS(N22),ABS(O22))</f>
        <v>2.6616778762827455</v>
      </c>
      <c r="AB22" s="37">
        <f t="shared" ref="AB22:AB29" si="14">K22</f>
        <v>99.379088393456911</v>
      </c>
      <c r="AC22" s="37">
        <f t="shared" ref="AC22:AC29" si="15">P22</f>
        <v>1.0335130634241896</v>
      </c>
      <c r="AD22" s="37">
        <f t="shared" si="11"/>
        <v>300</v>
      </c>
      <c r="AE22" s="39">
        <f t="shared" ref="AE22:AE29" si="16">Z22+MAX(ABS(R22),ABS(S22))</f>
        <v>338.84234267306147</v>
      </c>
      <c r="AF22" s="39">
        <f t="shared" ref="AF22:AF29" si="17">AB22+T22</f>
        <v>167.59897747815677</v>
      </c>
      <c r="AG22" s="39">
        <f t="shared" ref="AG22:AG29" si="18">AD22+U22</f>
        <v>320.59754811385227</v>
      </c>
      <c r="AH22" s="39">
        <f t="shared" ref="AH22:AH29" si="19">AA22+MAX(ABS(V22),ABS(W22))</f>
        <v>174.38999132451568</v>
      </c>
      <c r="AI22" s="39">
        <f t="shared" ref="AI22:AI29" si="20">AC22+X22</f>
        <v>85.1913692532911</v>
      </c>
      <c r="AJ22" s="39">
        <f t="shared" ref="AJ22:AJ29" si="21">AD22+ABS(Y22)</f>
        <v>305.21985921325535</v>
      </c>
      <c r="AK22" s="27">
        <f t="shared" ref="AK22:AK29" si="22">(0.75*(Z22+AA22)*10^6/350^2/(295/1.5)+AD22*1000/(4*350)/(295/1.5*0.9))*1.1</f>
        <v>8.2722165617212102</v>
      </c>
      <c r="AL22" s="27">
        <f t="shared" ref="AL22:AL29" si="23">(0.75*AE22*10^6/350^2/295+AG22*1000/(4*350)/(295*0.9))*1.1</f>
        <v>8.6843599966395768</v>
      </c>
      <c r="AM22" s="27">
        <f t="shared" ref="AM22:AM29" si="24">(0.75*(AB22+AC22)*10^6/350^2/(295/1.5)+AF22*1000/(4*350)/(295/1.5*0.9))*1.1</f>
        <v>4.1825323723743484</v>
      </c>
      <c r="AP22" t="s">
        <v>151</v>
      </c>
    </row>
    <row r="23" spans="3:42" x14ac:dyDescent="0.4">
      <c r="D23" s="3">
        <v>3</v>
      </c>
      <c r="E23" s="3" t="s">
        <v>0</v>
      </c>
      <c r="F23" s="3" t="s">
        <v>45</v>
      </c>
      <c r="G23" s="54" t="s">
        <v>118</v>
      </c>
      <c r="H23" s="56"/>
      <c r="I23" s="16">
        <f>I21</f>
        <v>153.61601701937127</v>
      </c>
      <c r="J23" s="16">
        <f>J21</f>
        <v>-121.56919640058672</v>
      </c>
      <c r="K23" s="16">
        <f>(I23-J23)/3.7</f>
        <v>74.374382005394054</v>
      </c>
      <c r="L23" s="16">
        <f t="shared" si="8"/>
        <v>74.374382005394054</v>
      </c>
      <c r="M23" s="3">
        <v>302</v>
      </c>
      <c r="N23" s="16">
        <f>固定モーメント法!S41</f>
        <v>-4.5039018952062158E-4</v>
      </c>
      <c r="O23" s="16">
        <f>固定モーメント法!S50</f>
        <v>-2.544048563620098E-4</v>
      </c>
      <c r="P23" s="16">
        <f t="shared" ref="P23" si="25">ABS((N23-O23)/3.7)</f>
        <v>5.2969008961786968E-5</v>
      </c>
      <c r="Q23" s="16">
        <f t="shared" si="12"/>
        <v>5.2969008961786968E-5</v>
      </c>
      <c r="R23" s="16">
        <f>R21</f>
        <v>-126.51628856895368</v>
      </c>
      <c r="S23" s="16">
        <f>S21</f>
        <v>103.5133270109621</v>
      </c>
      <c r="T23" s="16">
        <f>T21</f>
        <v>62.170166372950213</v>
      </c>
      <c r="U23" s="16">
        <f>U21</f>
        <v>18.770962695690457</v>
      </c>
      <c r="V23" s="16">
        <f>D値!S36*-1</f>
        <v>-171.44781742807109</v>
      </c>
      <c r="W23" s="16">
        <f>D値!S41</f>
        <v>139.14605472423159</v>
      </c>
      <c r="X23" s="16">
        <f>(W23-V23)/3.7</f>
        <v>83.94428977089261</v>
      </c>
      <c r="Y23" s="16">
        <f>D値!U41</f>
        <v>0</v>
      </c>
      <c r="Z23" s="37">
        <f t="shared" si="10"/>
        <v>153.61601701937127</v>
      </c>
      <c r="AA23" s="37">
        <f t="shared" si="13"/>
        <v>4.5039018952062158E-4</v>
      </c>
      <c r="AB23" s="37">
        <f t="shared" si="14"/>
        <v>74.374382005394054</v>
      </c>
      <c r="AC23" s="37">
        <f t="shared" si="15"/>
        <v>5.2969008961786968E-5</v>
      </c>
      <c r="AD23" s="37">
        <f t="shared" si="11"/>
        <v>302</v>
      </c>
      <c r="AE23" s="39">
        <f t="shared" si="16"/>
        <v>280.13230558832493</v>
      </c>
      <c r="AF23" s="39">
        <f t="shared" si="17"/>
        <v>136.54454837834427</v>
      </c>
      <c r="AG23" s="39">
        <f t="shared" si="18"/>
        <v>320.77096269569046</v>
      </c>
      <c r="AH23" s="39">
        <f t="shared" si="19"/>
        <v>171.4482678182606</v>
      </c>
      <c r="AI23" s="39">
        <f t="shared" si="20"/>
        <v>83.944342739901572</v>
      </c>
      <c r="AJ23" s="39">
        <f t="shared" si="21"/>
        <v>302</v>
      </c>
      <c r="AK23" s="27">
        <f t="shared" si="22"/>
        <v>6.6010712349405702</v>
      </c>
      <c r="AL23" s="27">
        <f t="shared" si="23"/>
        <v>7.3445541199520807</v>
      </c>
      <c r="AM23" s="27">
        <f t="shared" si="24"/>
        <v>3.1530234405585094</v>
      </c>
      <c r="AP23" t="s">
        <v>151</v>
      </c>
    </row>
    <row r="24" spans="3:42" x14ac:dyDescent="0.4">
      <c r="D24" s="3">
        <v>2</v>
      </c>
      <c r="E24" s="3" t="s">
        <v>40</v>
      </c>
      <c r="F24" s="3" t="s">
        <v>45</v>
      </c>
      <c r="G24" s="54" t="s">
        <v>118</v>
      </c>
      <c r="H24" s="56"/>
      <c r="I24" s="16">
        <f>固定モーメント法!R19</f>
        <v>109.95711029987423</v>
      </c>
      <c r="J24" s="16">
        <f>固定モーメント法!Q28*-1</f>
        <v>-122.48172469621025</v>
      </c>
      <c r="K24" s="16">
        <f>ABS((I24-J24)/3.75)</f>
        <v>61.983689332289195</v>
      </c>
      <c r="L24" s="16">
        <f t="shared" si="8"/>
        <v>61.983689332289195</v>
      </c>
      <c r="M24" s="16">
        <f>149+M21</f>
        <v>298.5</v>
      </c>
      <c r="N24" s="16">
        <f>固定モーメント法!D50</f>
        <v>12.264523263382335</v>
      </c>
      <c r="O24" s="16">
        <f>固定モーメント法!C59*-1</f>
        <v>-15.565881189610849</v>
      </c>
      <c r="P24" s="16">
        <f>ABS((N24-O24)/3.75)</f>
        <v>7.4214411874648496</v>
      </c>
      <c r="Q24" s="16">
        <f t="shared" si="12"/>
        <v>7.4214411874648496</v>
      </c>
      <c r="R24" s="16">
        <f>D値!Q14*-1</f>
        <v>-183.65805604203152</v>
      </c>
      <c r="S24" s="16">
        <f>D値!Q19</f>
        <v>183.65805604203152</v>
      </c>
      <c r="T24" s="16">
        <f>(S24-R24)/3.75</f>
        <v>97.950963222416803</v>
      </c>
      <c r="U24" s="16">
        <f>D値!S19</f>
        <v>61.377992822247371</v>
      </c>
      <c r="V24" s="16">
        <f>D値!C45*-1</f>
        <v>-163.43673806273986</v>
      </c>
      <c r="W24" s="16">
        <f>D値!C50</f>
        <v>136.44718498815899</v>
      </c>
      <c r="X24" s="16">
        <f>(W24-V24)/3.75</f>
        <v>79.969046146906351</v>
      </c>
      <c r="Y24" s="16">
        <f>D値!E50</f>
        <v>111.7846874401919</v>
      </c>
      <c r="Z24" s="37">
        <f t="shared" si="10"/>
        <v>122.48172469621025</v>
      </c>
      <c r="AA24" s="37">
        <f t="shared" si="13"/>
        <v>15.565881189610849</v>
      </c>
      <c r="AB24" s="37">
        <f t="shared" si="14"/>
        <v>61.983689332289195</v>
      </c>
      <c r="AC24" s="37">
        <f t="shared" si="15"/>
        <v>7.4214411874648496</v>
      </c>
      <c r="AD24" s="37">
        <f t="shared" si="11"/>
        <v>298.5</v>
      </c>
      <c r="AE24" s="39">
        <f t="shared" si="16"/>
        <v>306.13978073824177</v>
      </c>
      <c r="AF24" s="39">
        <f t="shared" si="17"/>
        <v>159.93465255470599</v>
      </c>
      <c r="AG24" s="39">
        <f t="shared" si="18"/>
        <v>359.87799282224739</v>
      </c>
      <c r="AH24" s="39">
        <f t="shared" si="19"/>
        <v>179.00261925235071</v>
      </c>
      <c r="AI24" s="39">
        <f t="shared" si="20"/>
        <v>87.390487334371201</v>
      </c>
      <c r="AJ24" s="39">
        <f t="shared" si="21"/>
        <v>410.28468744019187</v>
      </c>
      <c r="AK24" s="27">
        <f t="shared" si="22"/>
        <v>6.0523912081273918</v>
      </c>
      <c r="AL24" s="27">
        <f t="shared" si="23"/>
        <v>8.0540234138832645</v>
      </c>
      <c r="AM24" s="27">
        <f t="shared" si="24"/>
        <v>3.0866837181740037</v>
      </c>
      <c r="AP24" t="s">
        <v>151</v>
      </c>
    </row>
    <row r="25" spans="3:42" x14ac:dyDescent="0.4">
      <c r="D25" s="3">
        <v>2</v>
      </c>
      <c r="E25" s="3" t="s">
        <v>46</v>
      </c>
      <c r="F25" s="3" t="s">
        <v>45</v>
      </c>
      <c r="G25" s="54" t="s">
        <v>118</v>
      </c>
      <c r="H25" s="56"/>
      <c r="I25" s="16">
        <f>固定モーメント法!D19</f>
        <v>156.42956515399666</v>
      </c>
      <c r="J25" s="16">
        <f>固定モーメント法!C28*-1</f>
        <v>-169.79118431571368</v>
      </c>
      <c r="K25" s="16">
        <f>ABS((I25-J25)/3.75)</f>
        <v>86.992199858589416</v>
      </c>
      <c r="L25" s="16">
        <f>K25</f>
        <v>86.992199858589416</v>
      </c>
      <c r="M25" s="16">
        <f>299+M22</f>
        <v>599</v>
      </c>
      <c r="N25" s="16">
        <f>固定モーメント法!L50</f>
        <v>-1.1822296615574932</v>
      </c>
      <c r="O25" s="16">
        <f>固定モーメント法!K59*-1</f>
        <v>1.2733588469889374</v>
      </c>
      <c r="P25" s="16">
        <f>ABS((N25-O25)/3.75)</f>
        <v>0.65482360227904812</v>
      </c>
      <c r="Q25" s="16">
        <f t="shared" si="12"/>
        <v>0.65482360227904812</v>
      </c>
      <c r="R25" s="16">
        <f>D値!C14*-1</f>
        <v>-201.31129597197898</v>
      </c>
      <c r="S25" s="16">
        <f>D値!C19</f>
        <v>201.31129597197898</v>
      </c>
      <c r="T25" s="16">
        <f>(S25-R25)/3.75</f>
        <v>107.36602451838878</v>
      </c>
      <c r="U25" s="16">
        <f>D値!E19</f>
        <v>67.318232282695618</v>
      </c>
      <c r="V25" s="16">
        <f>D値!K45*-1</f>
        <v>-244.88072967097921</v>
      </c>
      <c r="W25" s="16">
        <f>D値!K50</f>
        <v>244.88072967097921</v>
      </c>
      <c r="X25" s="16">
        <f>(W25-V25)/3.75</f>
        <v>130.60305582452224</v>
      </c>
      <c r="Y25" s="16">
        <f>D値!M50</f>
        <v>-14.562861063771209</v>
      </c>
      <c r="Z25" s="37">
        <f t="shared" si="10"/>
        <v>169.79118431571368</v>
      </c>
      <c r="AA25" s="37">
        <f t="shared" si="13"/>
        <v>1.2733588469889374</v>
      </c>
      <c r="AB25" s="37">
        <f t="shared" si="14"/>
        <v>86.992199858589416</v>
      </c>
      <c r="AC25" s="37">
        <f t="shared" si="15"/>
        <v>0.65482360227904812</v>
      </c>
      <c r="AD25" s="37">
        <f t="shared" si="11"/>
        <v>599</v>
      </c>
      <c r="AE25" s="39">
        <f t="shared" si="16"/>
        <v>371.10248028769263</v>
      </c>
      <c r="AF25" s="39">
        <f t="shared" si="17"/>
        <v>194.3582243769782</v>
      </c>
      <c r="AG25" s="39">
        <f t="shared" si="18"/>
        <v>666.31823228269559</v>
      </c>
      <c r="AH25" s="39">
        <f t="shared" si="19"/>
        <v>246.15408851796815</v>
      </c>
      <c r="AI25" s="39">
        <f t="shared" si="20"/>
        <v>131.25787942680128</v>
      </c>
      <c r="AJ25" s="39">
        <f t="shared" si="21"/>
        <v>613.56286106377115</v>
      </c>
      <c r="AK25" s="27">
        <f t="shared" si="22"/>
        <v>8.5169686751207969</v>
      </c>
      <c r="AL25" s="27">
        <f t="shared" si="23"/>
        <v>10.443959305763364</v>
      </c>
      <c r="AM25" s="27">
        <f t="shared" si="24"/>
        <v>3.8641712909479531</v>
      </c>
      <c r="AP25" t="s">
        <v>151</v>
      </c>
    </row>
    <row r="26" spans="3:42" x14ac:dyDescent="0.4">
      <c r="D26" s="3">
        <v>2</v>
      </c>
      <c r="E26" s="3" t="s">
        <v>0</v>
      </c>
      <c r="F26" s="3" t="s">
        <v>45</v>
      </c>
      <c r="G26" s="54" t="s">
        <v>118</v>
      </c>
      <c r="H26" s="56"/>
      <c r="I26" s="16">
        <f>I24</f>
        <v>109.95711029987423</v>
      </c>
      <c r="J26" s="16">
        <f>J24</f>
        <v>-122.48172469621025</v>
      </c>
      <c r="K26" s="16">
        <f>ABS((I26-J26)/3.75)</f>
        <v>61.983689332289195</v>
      </c>
      <c r="L26" s="16">
        <f t="shared" si="8"/>
        <v>61.983689332289195</v>
      </c>
      <c r="M26" s="16">
        <f>300.5+M23</f>
        <v>602.5</v>
      </c>
      <c r="N26" s="16">
        <f>固定モーメント法!T50</f>
        <v>-2.4936713643404924E-4</v>
      </c>
      <c r="O26" s="16">
        <f>固定モーメント法!S59</f>
        <v>-2.2957358280550335E-4</v>
      </c>
      <c r="P26" s="16">
        <f>ABS((N26-O26)/3.75)</f>
        <v>5.2782809676122363E-6</v>
      </c>
      <c r="Q26" s="16">
        <f t="shared" si="12"/>
        <v>5.2782809676122363E-6</v>
      </c>
      <c r="R26" s="16">
        <f>R24</f>
        <v>-183.65805604203152</v>
      </c>
      <c r="S26" s="16">
        <f>S24</f>
        <v>183.65805604203152</v>
      </c>
      <c r="T26" s="16">
        <f>T24</f>
        <v>97.950963222416803</v>
      </c>
      <c r="U26" s="16">
        <f>U24</f>
        <v>61.377992822247371</v>
      </c>
      <c r="V26" s="16">
        <f>D値!S45*-1</f>
        <v>-244.26545145572544</v>
      </c>
      <c r="W26" s="16">
        <f>D値!S50</f>
        <v>244.26545145572544</v>
      </c>
      <c r="X26" s="16">
        <f>(W26-V26)/3.75</f>
        <v>130.27490744305356</v>
      </c>
      <c r="Y26" s="16">
        <f>D値!U50</f>
        <v>0</v>
      </c>
      <c r="Z26" s="37">
        <f t="shared" si="10"/>
        <v>122.48172469621025</v>
      </c>
      <c r="AA26" s="37">
        <f t="shared" si="13"/>
        <v>2.4936713643404924E-4</v>
      </c>
      <c r="AB26" s="37">
        <f t="shared" si="14"/>
        <v>61.983689332289195</v>
      </c>
      <c r="AC26" s="37">
        <f t="shared" si="15"/>
        <v>5.2782809676122363E-6</v>
      </c>
      <c r="AD26" s="37">
        <f t="shared" si="11"/>
        <v>602.5</v>
      </c>
      <c r="AE26" s="39">
        <f t="shared" si="16"/>
        <v>306.13978073824177</v>
      </c>
      <c r="AF26" s="39">
        <f t="shared" si="17"/>
        <v>159.93465255470599</v>
      </c>
      <c r="AG26" s="39">
        <f t="shared" si="18"/>
        <v>663.87799282224739</v>
      </c>
      <c r="AH26" s="39">
        <f t="shared" si="19"/>
        <v>244.26570082286187</v>
      </c>
      <c r="AI26" s="39">
        <f t="shared" si="20"/>
        <v>130.27491272133454</v>
      </c>
      <c r="AJ26" s="39">
        <f t="shared" si="21"/>
        <v>602.5</v>
      </c>
      <c r="AK26" s="27">
        <f t="shared" si="22"/>
        <v>6.8688338864076988</v>
      </c>
      <c r="AL26" s="27">
        <f t="shared" si="23"/>
        <v>8.9536736694657222</v>
      </c>
      <c r="AM26" s="27">
        <f t="shared" si="24"/>
        <v>2.8325425369186581</v>
      </c>
      <c r="AP26" t="s">
        <v>151</v>
      </c>
    </row>
    <row r="27" spans="3:42" x14ac:dyDescent="0.4">
      <c r="D27" s="3">
        <v>1</v>
      </c>
      <c r="E27" s="3" t="s">
        <v>40</v>
      </c>
      <c r="F27" s="3" t="s">
        <v>45</v>
      </c>
      <c r="G27" s="54" t="s">
        <v>118</v>
      </c>
      <c r="H27" s="56"/>
      <c r="I27" s="16">
        <f>固定モーメント法!R28</f>
        <v>79.784211589445803</v>
      </c>
      <c r="J27" s="16">
        <f>固定モーメント法!R31*-1</f>
        <v>-39.892105794722902</v>
      </c>
      <c r="K27" s="16">
        <f>ABS((I27-J27)/4.1)</f>
        <v>29.189345703455782</v>
      </c>
      <c r="L27" s="16">
        <f t="shared" si="8"/>
        <v>29.189345703455782</v>
      </c>
      <c r="M27" s="16">
        <f>150+M24</f>
        <v>448.5</v>
      </c>
      <c r="N27" s="16">
        <f>固定モーメント法!D59</f>
        <v>9.121032204591792</v>
      </c>
      <c r="O27" s="16">
        <f>固定モーメント法!D62*-1</f>
        <v>-4.560516102295896</v>
      </c>
      <c r="P27" s="16">
        <f>ABS((N27-O27)/4.1)</f>
        <v>3.3369630016799241</v>
      </c>
      <c r="Q27" s="16">
        <f t="shared" si="12"/>
        <v>3.3369630016799241</v>
      </c>
      <c r="R27" s="16">
        <f>D値!Q23*-1</f>
        <v>-252.09036532856624</v>
      </c>
      <c r="S27" s="16">
        <f>D値!Q28</f>
        <v>252.09036532856624</v>
      </c>
      <c r="T27" s="16">
        <f>(S27-R27)/4.1</f>
        <v>122.97090991637378</v>
      </c>
      <c r="U27" s="16">
        <f>D値!S28</f>
        <v>126.02909391580786</v>
      </c>
      <c r="V27" s="16">
        <f>D値!C54*-1</f>
        <v>-137.18525613752658</v>
      </c>
      <c r="W27" s="16">
        <f>D値!C59</f>
        <v>284.92322428563216</v>
      </c>
      <c r="X27" s="16">
        <f>(W27-V27)/4.1</f>
        <v>102.95328790808752</v>
      </c>
      <c r="Y27" s="16">
        <f>D値!E59</f>
        <v>203.19497207090754</v>
      </c>
      <c r="Z27" s="37">
        <f t="shared" si="10"/>
        <v>79.784211589445803</v>
      </c>
      <c r="AA27" s="37">
        <f t="shared" si="13"/>
        <v>9.121032204591792</v>
      </c>
      <c r="AB27" s="37">
        <f t="shared" si="14"/>
        <v>29.189345703455782</v>
      </c>
      <c r="AC27" s="37">
        <f t="shared" si="15"/>
        <v>3.3369630016799241</v>
      </c>
      <c r="AD27" s="37">
        <f t="shared" si="11"/>
        <v>448.5</v>
      </c>
      <c r="AE27" s="39">
        <f>Z27+MAX(ABS(R27),ABS(S27))</f>
        <v>331.87457691801205</v>
      </c>
      <c r="AF27" s="39">
        <f t="shared" si="17"/>
        <v>152.16025561982957</v>
      </c>
      <c r="AG27" s="39">
        <f t="shared" si="18"/>
        <v>574.52909391580783</v>
      </c>
      <c r="AH27" s="39">
        <f>AA27+MAX(ABS(V27),ABS(W27))</f>
        <v>294.04425649022397</v>
      </c>
      <c r="AI27" s="39">
        <f t="shared" si="20"/>
        <v>106.29025090976744</v>
      </c>
      <c r="AJ27" s="39">
        <f>AD27+ABS(Y27)</f>
        <v>651.69497207090751</v>
      </c>
      <c r="AK27" s="27">
        <f t="shared" si="22"/>
        <v>5.0354095937771444</v>
      </c>
      <c r="AL27" s="27">
        <f t="shared" si="23"/>
        <v>9.2767684738389775</v>
      </c>
      <c r="AM27" s="27">
        <f t="shared" si="24"/>
        <v>1.7892866974275043</v>
      </c>
      <c r="AP27" t="s">
        <v>155</v>
      </c>
    </row>
    <row r="28" spans="3:42" x14ac:dyDescent="0.4">
      <c r="D28" s="3">
        <v>1</v>
      </c>
      <c r="E28" s="3" t="s">
        <v>46</v>
      </c>
      <c r="F28" s="3" t="s">
        <v>45</v>
      </c>
      <c r="G28" s="54" t="s">
        <v>118</v>
      </c>
      <c r="H28" s="56"/>
      <c r="I28" s="16">
        <f>固定モーメント法!D28</f>
        <v>111.27203332062129</v>
      </c>
      <c r="J28" s="16">
        <f>固定モーメント法!D31*-1</f>
        <v>-55.636016660310645</v>
      </c>
      <c r="K28" s="16">
        <f>ABS((I28-J28)/4.1)</f>
        <v>40.709280483154132</v>
      </c>
      <c r="L28" s="16">
        <f>K28</f>
        <v>40.709280483154132</v>
      </c>
      <c r="M28" s="3">
        <f>301+M25</f>
        <v>900</v>
      </c>
      <c r="N28" s="16">
        <f>固定モーメント法!L59</f>
        <v>-1.2635322238758846</v>
      </c>
      <c r="O28" s="16">
        <f>固定モーメント法!L62*-1</f>
        <v>0.6317661119379423</v>
      </c>
      <c r="P28" s="16">
        <f>ABS((N28-O28)/4.1)</f>
        <v>0.46226788678386027</v>
      </c>
      <c r="Q28" s="16">
        <f t="shared" si="12"/>
        <v>0.46226788678386027</v>
      </c>
      <c r="R28" s="16">
        <f>D値!C23*-1</f>
        <v>-268.24808978095581</v>
      </c>
      <c r="S28" s="16">
        <f>D値!C28</f>
        <v>268.24808978095581</v>
      </c>
      <c r="T28" s="16">
        <f>(S28-R28)/4.1</f>
        <v>130.85272672241749</v>
      </c>
      <c r="U28" s="16">
        <f>D値!E28</f>
        <v>136.98579693446635</v>
      </c>
      <c r="V28" s="16">
        <f>D値!K54*-1</f>
        <v>-236.5431830702064</v>
      </c>
      <c r="W28" s="16">
        <f>D値!K59</f>
        <v>354.81477460530971</v>
      </c>
      <c r="X28" s="16">
        <f>(W28-V28)/4.1</f>
        <v>144.23364821354053</v>
      </c>
      <c r="Y28" s="16">
        <f>D値!M59</f>
        <v>-21.794461652727591</v>
      </c>
      <c r="Z28" s="37">
        <f t="shared" si="10"/>
        <v>111.27203332062129</v>
      </c>
      <c r="AA28" s="37">
        <f t="shared" si="13"/>
        <v>1.2635322238758846</v>
      </c>
      <c r="AB28" s="37">
        <f t="shared" si="14"/>
        <v>40.709280483154132</v>
      </c>
      <c r="AC28" s="37">
        <f t="shared" si="15"/>
        <v>0.46226788678386027</v>
      </c>
      <c r="AD28" s="37">
        <f t="shared" si="11"/>
        <v>900</v>
      </c>
      <c r="AE28" s="39">
        <f t="shared" si="16"/>
        <v>379.5201231015771</v>
      </c>
      <c r="AF28" s="39">
        <f t="shared" si="17"/>
        <v>171.5620072055716</v>
      </c>
      <c r="AG28" s="39">
        <f>AD28+U28</f>
        <v>1036.9857969344664</v>
      </c>
      <c r="AH28" s="39">
        <f>AA28+MAX(ABS(V28),ABS(W28))</f>
        <v>356.07830682918558</v>
      </c>
      <c r="AI28" s="39">
        <f t="shared" si="20"/>
        <v>144.69591610032438</v>
      </c>
      <c r="AJ28" s="39">
        <f>AD28+ABS(Y28)</f>
        <v>921.79446165272759</v>
      </c>
      <c r="AK28" s="27">
        <f t="shared" si="22"/>
        <v>7.8488484914926406</v>
      </c>
      <c r="AL28" s="27">
        <f t="shared" si="23"/>
        <v>11.733074272120016</v>
      </c>
      <c r="AM28" s="27">
        <f t="shared" si="24"/>
        <v>2.1714616791520918</v>
      </c>
      <c r="AP28" t="s">
        <v>155</v>
      </c>
    </row>
    <row r="29" spans="3:42" x14ac:dyDescent="0.4">
      <c r="D29" s="3">
        <v>1</v>
      </c>
      <c r="E29" s="3" t="s">
        <v>0</v>
      </c>
      <c r="F29" s="3" t="s">
        <v>45</v>
      </c>
      <c r="G29" s="54" t="s">
        <v>118</v>
      </c>
      <c r="H29" s="56"/>
      <c r="I29" s="16">
        <f>I27</f>
        <v>79.784211589445803</v>
      </c>
      <c r="J29" s="16">
        <f>J27</f>
        <v>-39.892105794722902</v>
      </c>
      <c r="K29" s="16">
        <f>ABS((I29-J29)/4.1)</f>
        <v>29.189345703455782</v>
      </c>
      <c r="L29" s="16">
        <f t="shared" si="8"/>
        <v>29.189345703455782</v>
      </c>
      <c r="M29" s="3">
        <f>302.5+M26</f>
        <v>905</v>
      </c>
      <c r="N29" s="16">
        <f>固定モーメント法!T59</f>
        <v>-2.1102218217475564E-4</v>
      </c>
      <c r="O29" s="16">
        <f>固定モーメント法!T62</f>
        <v>-1.0551109108737782E-4</v>
      </c>
      <c r="P29" s="16">
        <f>ABS((N29-O29)/4.1)</f>
        <v>2.5734412460336056E-5</v>
      </c>
      <c r="Q29" s="16">
        <f t="shared" si="12"/>
        <v>2.5734412460336056E-5</v>
      </c>
      <c r="R29" s="16">
        <f>R27</f>
        <v>-252.09036532856624</v>
      </c>
      <c r="S29" s="16">
        <f>S27</f>
        <v>252.09036532856624</v>
      </c>
      <c r="T29" s="16">
        <f>T27</f>
        <v>122.97090991637378</v>
      </c>
      <c r="U29" s="16">
        <f>U27</f>
        <v>126.02909391580786</v>
      </c>
      <c r="V29" s="16">
        <f>D値!S54*-1</f>
        <v>-236.36684952105989</v>
      </c>
      <c r="W29" s="16">
        <f>D値!S59</f>
        <v>354.55027428158996</v>
      </c>
      <c r="X29" s="16">
        <f>(W29-V29)/4.1</f>
        <v>144.12612775674387</v>
      </c>
      <c r="Y29" s="16">
        <f>D値!U59</f>
        <v>0</v>
      </c>
      <c r="Z29" s="37">
        <f t="shared" si="10"/>
        <v>79.784211589445803</v>
      </c>
      <c r="AA29" s="37">
        <f t="shared" si="13"/>
        <v>2.1102218217475564E-4</v>
      </c>
      <c r="AB29" s="37">
        <f t="shared" si="14"/>
        <v>29.189345703455782</v>
      </c>
      <c r="AC29" s="37">
        <f t="shared" si="15"/>
        <v>2.5734412460336056E-5</v>
      </c>
      <c r="AD29" s="37">
        <f t="shared" si="11"/>
        <v>905</v>
      </c>
      <c r="AE29" s="39">
        <f t="shared" si="16"/>
        <v>331.87457691801205</v>
      </c>
      <c r="AF29" s="39">
        <f t="shared" si="17"/>
        <v>152.16025561982957</v>
      </c>
      <c r="AG29" s="39">
        <f t="shared" si="18"/>
        <v>1031.0290939158078</v>
      </c>
      <c r="AH29" s="39">
        <f t="shared" si="19"/>
        <v>354.55048530377212</v>
      </c>
      <c r="AI29" s="39">
        <f t="shared" si="20"/>
        <v>144.12615349115632</v>
      </c>
      <c r="AJ29" s="39">
        <f t="shared" si="21"/>
        <v>905</v>
      </c>
      <c r="AK29" s="27">
        <f t="shared" si="22"/>
        <v>6.7495069198263016</v>
      </c>
      <c r="AL29" s="27">
        <f t="shared" si="23"/>
        <v>10.627723545133033</v>
      </c>
      <c r="AM29" s="27">
        <f t="shared" si="24"/>
        <v>1.6750159297140907</v>
      </c>
      <c r="AP29" t="s">
        <v>155</v>
      </c>
    </row>
  </sheetData>
  <mergeCells count="27">
    <mergeCell ref="G26:H26"/>
    <mergeCell ref="G27:H27"/>
    <mergeCell ref="G28:H28"/>
    <mergeCell ref="G29:H29"/>
    <mergeCell ref="G21:H21"/>
    <mergeCell ref="G22:H22"/>
    <mergeCell ref="G23:H23"/>
    <mergeCell ref="G24:H24"/>
    <mergeCell ref="G25:H25"/>
    <mergeCell ref="D3:D4"/>
    <mergeCell ref="E3:E4"/>
    <mergeCell ref="F3:F4"/>
    <mergeCell ref="H3:H4"/>
    <mergeCell ref="D19:D20"/>
    <mergeCell ref="E19:E20"/>
    <mergeCell ref="F19:F20"/>
    <mergeCell ref="G3:G4"/>
    <mergeCell ref="G19:H20"/>
    <mergeCell ref="S3:T3"/>
    <mergeCell ref="Q3:R3"/>
    <mergeCell ref="Z19:AD19"/>
    <mergeCell ref="AE19:AJ19"/>
    <mergeCell ref="R19:U19"/>
    <mergeCell ref="V19:Y19"/>
    <mergeCell ref="I19:Q19"/>
    <mergeCell ref="I3:M3"/>
    <mergeCell ref="N3:P3"/>
  </mergeCells>
  <phoneticPr fontId="1"/>
  <pageMargins left="0.7" right="0.7" top="0.75" bottom="0.75" header="0.3" footer="0.3"/>
  <pageSetup paperSize="9" scale="45" fitToWidth="0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C3FE4-75B5-41FA-B438-BD5ECACBA35D}">
  <sheetPr>
    <pageSetUpPr fitToPage="1"/>
  </sheetPr>
  <dimension ref="B1:AM63"/>
  <sheetViews>
    <sheetView view="pageBreakPreview" topLeftCell="F1" zoomScale="70" zoomScaleNormal="70" zoomScaleSheetLayoutView="70" workbookViewId="0">
      <selection activeCell="AH17" sqref="AH17"/>
    </sheetView>
  </sheetViews>
  <sheetFormatPr defaultRowHeight="18.75" x14ac:dyDescent="0.4"/>
  <cols>
    <col min="7" max="7" width="11.25" customWidth="1"/>
    <col min="37" max="37" width="9.75" bestFit="1" customWidth="1"/>
    <col min="38" max="38" width="11" bestFit="1" customWidth="1"/>
    <col min="39" max="39" width="32.25" bestFit="1" customWidth="1"/>
    <col min="40" max="40" width="12.25" bestFit="1" customWidth="1"/>
    <col min="41" max="41" width="13.375" bestFit="1" customWidth="1"/>
  </cols>
  <sheetData>
    <row r="1" spans="2:39" x14ac:dyDescent="0.4">
      <c r="E1" t="s">
        <v>19</v>
      </c>
      <c r="S1" t="s">
        <v>20</v>
      </c>
      <c r="AI1" t="s">
        <v>134</v>
      </c>
    </row>
    <row r="2" spans="2:39" x14ac:dyDescent="0.4">
      <c r="B2" t="s">
        <v>15</v>
      </c>
      <c r="AG2" s="57" t="s">
        <v>33</v>
      </c>
      <c r="AH2" s="57"/>
      <c r="AI2" s="57"/>
      <c r="AJ2" s="57"/>
      <c r="AK2" s="57"/>
      <c r="AL2" s="57"/>
      <c r="AM2" s="57"/>
    </row>
    <row r="3" spans="2:39" ht="19.5" thickBot="1" x14ac:dyDescent="0.45">
      <c r="D3" s="2"/>
      <c r="E3" s="2"/>
      <c r="F3" s="2" t="s">
        <v>28</v>
      </c>
      <c r="G3" s="21">
        <v>2.19</v>
      </c>
      <c r="H3" s="18">
        <f>K5+K1</f>
        <v>139.92837908409044</v>
      </c>
      <c r="I3" s="2"/>
      <c r="J3" s="2"/>
      <c r="K3" s="2"/>
      <c r="R3" s="2"/>
      <c r="S3" s="2"/>
      <c r="T3" s="2" t="s">
        <v>28</v>
      </c>
      <c r="U3" s="51">
        <v>1.75</v>
      </c>
      <c r="V3" s="18">
        <f>Y5+Y1</f>
        <v>124.86493137386435</v>
      </c>
      <c r="W3" s="2"/>
      <c r="X3" s="2"/>
      <c r="Y3" s="2"/>
      <c r="AD3" s="3"/>
      <c r="AE3" s="3" t="s">
        <v>133</v>
      </c>
      <c r="AF3" s="3" t="s">
        <v>35</v>
      </c>
      <c r="AG3" s="3" t="s">
        <v>30</v>
      </c>
      <c r="AH3" s="3" t="s">
        <v>31</v>
      </c>
      <c r="AI3" s="3" t="s">
        <v>136</v>
      </c>
      <c r="AJ3" s="3" t="s">
        <v>135</v>
      </c>
      <c r="AK3" s="3" t="s">
        <v>137</v>
      </c>
      <c r="AL3" s="3" t="s">
        <v>138</v>
      </c>
      <c r="AM3" s="3" t="s">
        <v>139</v>
      </c>
    </row>
    <row r="4" spans="2:39" x14ac:dyDescent="0.4">
      <c r="B4" s="3"/>
      <c r="C4" s="5"/>
      <c r="D4" s="6"/>
      <c r="E4" s="7"/>
      <c r="F4" s="18">
        <f>C5+C1</f>
        <v>139.92837908409044</v>
      </c>
      <c r="H4" s="26" t="s">
        <v>29</v>
      </c>
      <c r="J4" s="3"/>
      <c r="K4" s="10"/>
      <c r="L4" s="4"/>
      <c r="M4" s="3"/>
      <c r="P4" s="3"/>
      <c r="Q4" s="5"/>
      <c r="R4" s="6"/>
      <c r="S4" s="7"/>
      <c r="T4" s="18">
        <f>Q5+Q1</f>
        <v>124.86493137386435</v>
      </c>
      <c r="V4" s="26" t="s">
        <v>29</v>
      </c>
      <c r="X4" s="3"/>
      <c r="Y4" s="10"/>
      <c r="Z4" s="4"/>
      <c r="AA4" s="3"/>
      <c r="AD4" s="3">
        <v>3</v>
      </c>
      <c r="AE4" s="23">
        <v>658</v>
      </c>
      <c r="AF4" s="23">
        <v>3.7</v>
      </c>
      <c r="AG4" s="32">
        <f>AE4*1000/((C9+K9)*3+(Q9+Y9)*2)*(AF4*1000)^2/12/205000/10^5</f>
        <v>7.2832687912722989</v>
      </c>
      <c r="AH4" s="16">
        <f>1/(AG4/AF4/1000)</f>
        <v>508.01365513707134</v>
      </c>
      <c r="AI4" s="15">
        <f>AE4*1000*(AF4*1000)^2/12/205000/(AF4*1000/200)/10^5</f>
        <v>1.9793495934959349</v>
      </c>
      <c r="AJ4" s="48">
        <f>AI4/((C9+K9)*3+(Q9+Y9)*2)*MAX(C9,K9,Q9,Y9)</f>
        <v>0.20684165422629774</v>
      </c>
      <c r="AK4" s="48">
        <f>(G3+G12)/((G3+G12)/AJ4-2)</f>
        <v>0.22841505506655185</v>
      </c>
      <c r="AL4" s="16">
        <f>AK4*10^5*AF4*1000</f>
        <v>84513570.374624193</v>
      </c>
      <c r="AM4" s="3" t="s">
        <v>144</v>
      </c>
    </row>
    <row r="5" spans="2:39" x14ac:dyDescent="0.4">
      <c r="B5" s="3" t="s">
        <v>26</v>
      </c>
      <c r="C5" s="25">
        <f>C6*$AF$4*(1-E5)</f>
        <v>139.92837908409044</v>
      </c>
      <c r="D5" s="4" t="s">
        <v>25</v>
      </c>
      <c r="E5" s="15">
        <f>SUM(E6:E9)</f>
        <v>0.45</v>
      </c>
      <c r="G5" t="s">
        <v>18</v>
      </c>
      <c r="H5" s="18"/>
      <c r="J5" s="3" t="s">
        <v>26</v>
      </c>
      <c r="K5" s="25">
        <f>K6*$AF$4*(1-M5)</f>
        <v>139.92837908409044</v>
      </c>
      <c r="L5" s="4" t="s">
        <v>25</v>
      </c>
      <c r="M5" s="15">
        <f>SUM(M6:M9)</f>
        <v>0.45</v>
      </c>
      <c r="P5" s="3" t="s">
        <v>26</v>
      </c>
      <c r="Q5" s="25">
        <f>Q6*$AF$4*(1-S5)</f>
        <v>124.86493137386435</v>
      </c>
      <c r="R5" s="4" t="s">
        <v>25</v>
      </c>
      <c r="S5" s="15">
        <f>SUM(S6:S9)</f>
        <v>0.45</v>
      </c>
      <c r="U5" t="s">
        <v>18</v>
      </c>
      <c r="V5" s="18"/>
      <c r="X5" s="3" t="s">
        <v>26</v>
      </c>
      <c r="Y5" s="25">
        <f>Y6*$AF$4*(1-AA5)</f>
        <v>124.86493137386435</v>
      </c>
      <c r="Z5" s="4" t="s">
        <v>25</v>
      </c>
      <c r="AA5" s="15">
        <f>SUM(AA6:AA9)</f>
        <v>0.45</v>
      </c>
      <c r="AD5" s="3">
        <v>2</v>
      </c>
      <c r="AE5" s="23">
        <v>1036</v>
      </c>
      <c r="AF5" s="23">
        <v>3.75</v>
      </c>
      <c r="AG5" s="32">
        <f>AE5*1000/((C18+K18)*3+(Q18+Y18)*2)*(AF5*1000)^2/12/205000/10^5</f>
        <v>11.898107954114128</v>
      </c>
      <c r="AH5" s="16">
        <f>1/(AG5/AF5/1000)</f>
        <v>315.17616199669169</v>
      </c>
      <c r="AI5" s="15">
        <f>AE5*1000*(AF5*1000)^2/12/205000/(AF5*1000/200)/10^5</f>
        <v>3.1585365853658538</v>
      </c>
      <c r="AJ5" s="48">
        <f>AI5/((C18+K18)*3+(Q18+Y18)*2)*MAX(C18,K18,Q18,Y18)</f>
        <v>0.32992854171465824</v>
      </c>
      <c r="AK5" s="48">
        <f>(G12+G21)/((G12+G21)/AJ5-2)</f>
        <v>0.38844932711410957</v>
      </c>
      <c r="AL5" s="16">
        <f>AK5*10^5*AF5*1000</f>
        <v>145668497.6677911</v>
      </c>
      <c r="AM5" s="3" t="s">
        <v>141</v>
      </c>
    </row>
    <row r="6" spans="2:39" x14ac:dyDescent="0.4">
      <c r="B6" s="3" t="s">
        <v>18</v>
      </c>
      <c r="C6" s="13">
        <f>$AE$4/(($C9+$K9)*3+($Q9+$Y9)*2)*C9</f>
        <v>68.760874242796277</v>
      </c>
      <c r="D6" s="4" t="s">
        <v>21</v>
      </c>
      <c r="E6" s="23">
        <v>0.45</v>
      </c>
      <c r="G6" s="34">
        <f>(F4+H3)/G31</f>
        <v>20.760887104464455</v>
      </c>
      <c r="J6" s="3" t="s">
        <v>18</v>
      </c>
      <c r="K6" s="13">
        <f>$AE$4/(($C9+$K9)*3+($Q9+$Y9)*2)*K9</f>
        <v>68.760874242796277</v>
      </c>
      <c r="L6" s="4" t="s">
        <v>21</v>
      </c>
      <c r="M6" s="23">
        <v>0.45</v>
      </c>
      <c r="P6" s="3" t="s">
        <v>18</v>
      </c>
      <c r="Q6" s="13">
        <f>$AE$4/(($C9+$K9)*3+($Q9+$Y9)*2)*Q9</f>
        <v>61.358688635805571</v>
      </c>
      <c r="R6" s="4" t="s">
        <v>21</v>
      </c>
      <c r="S6" s="23">
        <v>0.45</v>
      </c>
      <c r="U6" s="34">
        <f>(T4+V3)/U31</f>
        <v>18.525954209772159</v>
      </c>
      <c r="X6" s="3" t="s">
        <v>18</v>
      </c>
      <c r="Y6" s="13">
        <f>$AE$4/(($C9+$K9)*3+($Q9+$Y9)*2)*Y9</f>
        <v>61.358688635805571</v>
      </c>
      <c r="Z6" s="4" t="s">
        <v>21</v>
      </c>
      <c r="AA6" s="23">
        <v>0.45</v>
      </c>
      <c r="AD6" s="3">
        <v>1</v>
      </c>
      <c r="AE6" s="23">
        <v>1277</v>
      </c>
      <c r="AF6" s="23">
        <v>4.0999999999999996</v>
      </c>
      <c r="AG6" s="32">
        <f>AE6*1000/((C27+K27)*3+(Q27+Y27)*2)*(AF6*1000)^2/12/205000/10^5</f>
        <v>18.984977646250449</v>
      </c>
      <c r="AH6" s="16">
        <f>1/(AG6/AF6/1000)</f>
        <v>215.96022267688861</v>
      </c>
      <c r="AI6" s="15">
        <f>AE6*1000*(AF6*1000)^2/12/205000/(AF6*1000/200)/10^5</f>
        <v>4.2566666666666677</v>
      </c>
      <c r="AJ6" s="48">
        <f>AI6/((C27+K27)*3+(Q27+Y27)*2)*MAX(C27,K27,Q27,Y27)</f>
        <v>0.43575921132700313</v>
      </c>
      <c r="AK6" s="48">
        <f>(G21+G30)/((G21+G30)/AJ6-2)</f>
        <v>0.56127059670877943</v>
      </c>
      <c r="AL6" s="16">
        <f>AK6*10^5*AF6*1000</f>
        <v>230120944.65059954</v>
      </c>
      <c r="AM6" s="3" t="s">
        <v>161</v>
      </c>
    </row>
    <row r="7" spans="2:39" x14ac:dyDescent="0.4">
      <c r="B7" s="3" t="s">
        <v>14</v>
      </c>
      <c r="C7" s="11">
        <f>(G3+G12)/D11/2</f>
        <v>2.1683168316831685</v>
      </c>
      <c r="D7" s="4" t="s">
        <v>22</v>
      </c>
      <c r="E7" s="24">
        <v>0</v>
      </c>
      <c r="J7" s="3" t="s">
        <v>14</v>
      </c>
      <c r="K7" s="11">
        <f>(G3+G12)/L11/2</f>
        <v>2.1683168316831685</v>
      </c>
      <c r="L7" s="4" t="s">
        <v>22</v>
      </c>
      <c r="M7" s="24">
        <v>0</v>
      </c>
      <c r="P7" s="3" t="s">
        <v>14</v>
      </c>
      <c r="Q7" s="11">
        <f>(U3+U12)/R11/2</f>
        <v>1.7326732673267327</v>
      </c>
      <c r="R7" s="4" t="s">
        <v>22</v>
      </c>
      <c r="S7" s="24">
        <v>0</v>
      </c>
      <c r="X7" s="3" t="s">
        <v>14</v>
      </c>
      <c r="Y7" s="11">
        <f>(U3+U12)/Z11/2</f>
        <v>1.7326732673267327</v>
      </c>
      <c r="Z7" s="4" t="s">
        <v>22</v>
      </c>
      <c r="AA7" s="24">
        <v>0</v>
      </c>
    </row>
    <row r="8" spans="2:39" x14ac:dyDescent="0.4">
      <c r="B8" s="3" t="s">
        <v>16</v>
      </c>
      <c r="C8" s="11">
        <f>C7/(2+C7)</f>
        <v>0.52019002375296919</v>
      </c>
      <c r="D8" s="4" t="s">
        <v>23</v>
      </c>
      <c r="E8" s="24">
        <v>0</v>
      </c>
      <c r="J8" s="3" t="s">
        <v>16</v>
      </c>
      <c r="K8" s="11">
        <f>K7/(2+K7)</f>
        <v>0.52019002375296919</v>
      </c>
      <c r="L8" s="4" t="s">
        <v>23</v>
      </c>
      <c r="M8" s="24">
        <v>0</v>
      </c>
      <c r="P8" s="3" t="s">
        <v>16</v>
      </c>
      <c r="Q8" s="11">
        <f>Q7/(2+Q7)</f>
        <v>0.46419098143236076</v>
      </c>
      <c r="R8" s="4" t="s">
        <v>23</v>
      </c>
      <c r="S8" s="24">
        <v>0</v>
      </c>
      <c r="X8" s="3" t="s">
        <v>16</v>
      </c>
      <c r="Y8" s="11">
        <f>Y7/(2+Y7)</f>
        <v>0.46419098143236076</v>
      </c>
      <c r="Z8" s="4" t="s">
        <v>23</v>
      </c>
      <c r="AA8" s="24">
        <v>0</v>
      </c>
    </row>
    <row r="9" spans="2:39" x14ac:dyDescent="0.4">
      <c r="B9" s="3" t="s">
        <v>17</v>
      </c>
      <c r="C9" s="11">
        <f>C8*D11</f>
        <v>0.52539192399049883</v>
      </c>
      <c r="D9" s="4" t="s">
        <v>24</v>
      </c>
      <c r="E9" s="24">
        <v>0</v>
      </c>
      <c r="J9" s="3" t="s">
        <v>17</v>
      </c>
      <c r="K9" s="11">
        <f>K8*L11</f>
        <v>0.52539192399049883</v>
      </c>
      <c r="L9" s="4" t="s">
        <v>24</v>
      </c>
      <c r="M9" s="24">
        <v>0</v>
      </c>
      <c r="P9" s="3" t="s">
        <v>17</v>
      </c>
      <c r="Q9" s="11">
        <f>Q8*R11</f>
        <v>0.46883289124668437</v>
      </c>
      <c r="R9" s="4" t="s">
        <v>24</v>
      </c>
      <c r="S9" s="24">
        <v>0</v>
      </c>
      <c r="X9" s="3" t="s">
        <v>17</v>
      </c>
      <c r="Y9" s="11">
        <f>Y8*Z11</f>
        <v>0.46883289124668437</v>
      </c>
      <c r="Z9" s="4" t="s">
        <v>24</v>
      </c>
      <c r="AA9" s="24">
        <v>0</v>
      </c>
      <c r="AG9" s="60" t="s">
        <v>34</v>
      </c>
      <c r="AH9" s="61"/>
      <c r="AI9" s="61"/>
      <c r="AJ9" s="61"/>
      <c r="AK9" s="61"/>
      <c r="AL9" s="61"/>
      <c r="AM9" s="61"/>
    </row>
    <row r="10" spans="2:39" x14ac:dyDescent="0.4">
      <c r="B10" s="3" t="s">
        <v>27</v>
      </c>
      <c r="C10" s="25">
        <f>C6*$AF$4*E5</f>
        <v>114.48685561425582</v>
      </c>
      <c r="D10" s="4" t="s">
        <v>38</v>
      </c>
      <c r="E10" s="16">
        <f>G6</f>
        <v>20.760887104464455</v>
      </c>
      <c r="J10" s="3" t="s">
        <v>27</v>
      </c>
      <c r="K10" s="25">
        <f>K6*$AF$4*M5</f>
        <v>114.48685561425582</v>
      </c>
      <c r="L10" s="4" t="s">
        <v>38</v>
      </c>
      <c r="M10" s="16">
        <f>G6</f>
        <v>20.760887104464455</v>
      </c>
      <c r="P10" s="3" t="s">
        <v>27</v>
      </c>
      <c r="Q10" s="25">
        <f>Q6*$AF$4*S5</f>
        <v>102.16221657861628</v>
      </c>
      <c r="R10" s="4" t="s">
        <v>38</v>
      </c>
      <c r="S10" s="16">
        <f>U6</f>
        <v>18.525954209772159</v>
      </c>
      <c r="X10" s="3" t="s">
        <v>27</v>
      </c>
      <c r="Y10" s="25">
        <f>Y6*$AF$4*AA5</f>
        <v>102.16221657861628</v>
      </c>
      <c r="Z10" s="4" t="s">
        <v>38</v>
      </c>
      <c r="AA10" s="16">
        <f>U6</f>
        <v>18.525954209772159</v>
      </c>
      <c r="AD10" s="3"/>
      <c r="AE10" s="3" t="s">
        <v>133</v>
      </c>
      <c r="AF10" s="3" t="s">
        <v>35</v>
      </c>
      <c r="AG10" s="3" t="s">
        <v>30</v>
      </c>
      <c r="AH10" s="3" t="s">
        <v>31</v>
      </c>
      <c r="AI10" s="3" t="s">
        <v>136</v>
      </c>
      <c r="AJ10" s="3" t="s">
        <v>135</v>
      </c>
      <c r="AK10" s="3" t="s">
        <v>137</v>
      </c>
      <c r="AL10" s="3" t="s">
        <v>138</v>
      </c>
      <c r="AM10" s="3" t="s">
        <v>139</v>
      </c>
    </row>
    <row r="11" spans="2:39" x14ac:dyDescent="0.4">
      <c r="C11" s="1"/>
      <c r="D11">
        <f>固定モーメント法!D11</f>
        <v>1.01</v>
      </c>
      <c r="K11" s="1"/>
      <c r="L11">
        <f>固定モーメント法!L11</f>
        <v>1.01</v>
      </c>
      <c r="Q11" s="1"/>
      <c r="R11">
        <f>固定モーメント法!R11</f>
        <v>1.01</v>
      </c>
      <c r="Y11" s="1"/>
      <c r="Z11">
        <f>固定モーメント法!Z11</f>
        <v>1.01</v>
      </c>
      <c r="AD11" s="3">
        <v>3</v>
      </c>
      <c r="AE11" s="3">
        <f>AE4</f>
        <v>658</v>
      </c>
      <c r="AF11" s="3">
        <f t="shared" ref="AF11:AF13" si="0">AF4</f>
        <v>3.7</v>
      </c>
      <c r="AG11" s="32">
        <f>AE11*1000/(C40+K40+S40+AA40+AI40)/2*(AF11*1000)^2/12/205000/10^5</f>
        <v>10.958419618217683</v>
      </c>
      <c r="AH11" s="16">
        <f>1/(AG11/AF4/1000)</f>
        <v>337.63992700635259</v>
      </c>
      <c r="AI11" s="15">
        <f>AE11*1000*(AF11*1000)^2/12/205000/(AF11*1000/200)/10^5</f>
        <v>1.9793495934959349</v>
      </c>
      <c r="AJ11" s="48">
        <f>AI11/((C40+K40+S40+AA40+AI40)*2)*MAX(C40,K40,S40,AA40,AI40)</f>
        <v>0.2331628140863202</v>
      </c>
      <c r="AK11" s="48">
        <f>(G34+G43+O34+O43)/((G34+G43+O34+O43)/AJ11-2)</f>
        <v>0.28460394295391506</v>
      </c>
      <c r="AL11" s="16">
        <f>AK11*10^5*AF11*1000</f>
        <v>105303458.89294858</v>
      </c>
      <c r="AM11" s="49" t="s">
        <v>144</v>
      </c>
    </row>
    <row r="12" spans="2:39" ht="19.5" thickBot="1" x14ac:dyDescent="0.45">
      <c r="C12" s="1"/>
      <c r="D12" s="8"/>
      <c r="E12" s="2"/>
      <c r="F12" s="2" t="s">
        <v>28</v>
      </c>
      <c r="G12" s="21">
        <v>2.19</v>
      </c>
      <c r="H12" s="18">
        <f>K14+K10</f>
        <v>317.39290876877061</v>
      </c>
      <c r="I12" s="2"/>
      <c r="J12" s="2"/>
      <c r="K12" s="9"/>
      <c r="M12" s="20"/>
      <c r="Q12" s="1"/>
      <c r="R12" s="8"/>
      <c r="S12" s="2"/>
      <c r="T12" s="2" t="s">
        <v>28</v>
      </c>
      <c r="U12" s="51">
        <v>1.75</v>
      </c>
      <c r="V12" s="18">
        <f>Y14+Y10</f>
        <v>283.42813684684404</v>
      </c>
      <c r="W12" s="2"/>
      <c r="X12" s="2"/>
      <c r="Y12" s="9"/>
      <c r="AD12" s="3">
        <v>2</v>
      </c>
      <c r="AE12" s="3">
        <f t="shared" ref="AE12:AE13" si="1">AE5</f>
        <v>1036</v>
      </c>
      <c r="AF12" s="3">
        <f t="shared" si="0"/>
        <v>3.75</v>
      </c>
      <c r="AG12" s="32">
        <f>AE12*1000/(C49+K49+S49+AA49+AI49)/2*(AF12*1000)^2/12/205000/10^5</f>
        <v>15.100885252369833</v>
      </c>
      <c r="AH12" s="16">
        <f>1/(AG12/AF5/1000)</f>
        <v>248.32981228113758</v>
      </c>
      <c r="AI12" s="15">
        <f>AE12*1000*(AF12*1000)^2/12/205000/(AF12*1000/200)/10^5</f>
        <v>3.1585365853658538</v>
      </c>
      <c r="AJ12" s="48">
        <f>AI12/((C49+K49+S49+AA49+AI49)*2)*MAX(C49,K49,S49,AA49,AI49)</f>
        <v>0.36716136044672087</v>
      </c>
      <c r="AK12" s="48">
        <f>(G43+G52+O43+O52)/((G43+G52+O43+O52)/AJ12-2)</f>
        <v>0.46906907660672897</v>
      </c>
      <c r="AL12" s="16">
        <f>AK12*10^5*AF12*1000</f>
        <v>175900903.72752336</v>
      </c>
      <c r="AM12" s="50" t="s">
        <v>141</v>
      </c>
    </row>
    <row r="13" spans="2:39" x14ac:dyDescent="0.4">
      <c r="B13" s="3"/>
      <c r="C13" s="5"/>
      <c r="D13" s="6"/>
      <c r="E13" s="7"/>
      <c r="F13" s="18">
        <f>C14+C10</f>
        <v>317.39290876877061</v>
      </c>
      <c r="H13" s="26" t="s">
        <v>29</v>
      </c>
      <c r="J13" s="3"/>
      <c r="K13" s="10"/>
      <c r="L13" s="4"/>
      <c r="M13" s="7"/>
      <c r="P13" s="3"/>
      <c r="Q13" s="5"/>
      <c r="R13" s="6"/>
      <c r="S13" s="7"/>
      <c r="T13" s="18">
        <f>Q14+Q10</f>
        <v>283.42813684684404</v>
      </c>
      <c r="V13" s="26" t="s">
        <v>29</v>
      </c>
      <c r="X13" s="3"/>
      <c r="Y13" s="10"/>
      <c r="Z13" s="4"/>
      <c r="AA13" s="3"/>
      <c r="AD13" s="3">
        <v>1</v>
      </c>
      <c r="AE13" s="3">
        <f t="shared" si="1"/>
        <v>1277</v>
      </c>
      <c r="AF13" s="3">
        <f t="shared" si="0"/>
        <v>4.0999999999999996</v>
      </c>
      <c r="AG13" s="32">
        <f>AE13*1000/(C58+K58+S58+AA58+AI58)/2*(AF13*1000)^2/12/205000/10^5</f>
        <v>18.125187431165703</v>
      </c>
      <c r="AH13" s="16">
        <f>1/(AG13/AF6/1000)</f>
        <v>226.20455736364835</v>
      </c>
      <c r="AI13" s="15">
        <f>AE13*1000*(AF13*1000)^2/12/205000/(AF13*1000/200)/10^5</f>
        <v>4.2566666666666677</v>
      </c>
      <c r="AJ13" s="48">
        <f>AI13/((C58+K58+S58+AA58+AI58)*2)*MAX(C58,K58,S58,AA58,AI58)</f>
        <v>0.48077882737846855</v>
      </c>
      <c r="AK13" s="48">
        <f>(G52+G61+O52+O61)/((G52+G61+O52+O61)/AJ13-2)</f>
        <v>0.58482757886551817</v>
      </c>
      <c r="AL13" s="16">
        <f>AK13*10^5*AF13*1000</f>
        <v>239779307.33486241</v>
      </c>
      <c r="AM13" s="3" t="s">
        <v>161</v>
      </c>
    </row>
    <row r="14" spans="2:39" x14ac:dyDescent="0.4">
      <c r="B14" s="3" t="s">
        <v>26</v>
      </c>
      <c r="C14" s="25">
        <f>C15*$AF$5*(1-E14)</f>
        <v>202.90605315451481</v>
      </c>
      <c r="D14" s="4" t="s">
        <v>25</v>
      </c>
      <c r="E14" s="15">
        <f>SUM(E15:E18)</f>
        <v>0.5</v>
      </c>
      <c r="G14" t="s">
        <v>18</v>
      </c>
      <c r="H14" s="18"/>
      <c r="J14" s="3" t="s">
        <v>26</v>
      </c>
      <c r="K14" s="25">
        <f>K15*$AF$5*(1-M14)</f>
        <v>202.90605315451481</v>
      </c>
      <c r="L14" s="4" t="s">
        <v>25</v>
      </c>
      <c r="M14" s="15">
        <f>SUM(M15:M18)</f>
        <v>0.5</v>
      </c>
      <c r="P14" s="3" t="s">
        <v>26</v>
      </c>
      <c r="Q14" s="25">
        <f>Q15*$AF$5*(1-S14)</f>
        <v>181.26592026822777</v>
      </c>
      <c r="R14" s="4" t="s">
        <v>25</v>
      </c>
      <c r="S14" s="15">
        <f>SUM(S15:S18)</f>
        <v>0.5</v>
      </c>
      <c r="U14" t="s">
        <v>18</v>
      </c>
      <c r="V14" s="18"/>
      <c r="X14" s="3" t="s">
        <v>26</v>
      </c>
      <c r="Y14" s="25">
        <f>Y15*$AF$5*(1-AA14)</f>
        <v>181.26592026822777</v>
      </c>
      <c r="Z14" s="4" t="s">
        <v>25</v>
      </c>
      <c r="AA14" s="15">
        <f>SUM(AA15:AA18)</f>
        <v>0.5</v>
      </c>
    </row>
    <row r="15" spans="2:39" x14ac:dyDescent="0.4">
      <c r="B15" s="3" t="s">
        <v>18</v>
      </c>
      <c r="C15" s="13">
        <f>$AE$5/(($C18+$K18)*3+($Q18+$Y18)*2)*C18</f>
        <v>108.2165616824079</v>
      </c>
      <c r="D15" s="4" t="s">
        <v>21</v>
      </c>
      <c r="E15" s="23">
        <v>0.5</v>
      </c>
      <c r="G15" s="34">
        <f>(F13+H12)/G31</f>
        <v>47.090936019105428</v>
      </c>
      <c r="J15" s="3" t="s">
        <v>18</v>
      </c>
      <c r="K15" s="13">
        <f>$AE$5/(($C18+$K18)*3+($Q18+$Y18)*2)*K18</f>
        <v>108.2165616824079</v>
      </c>
      <c r="L15" s="4" t="s">
        <v>21</v>
      </c>
      <c r="M15" s="23">
        <v>0.5</v>
      </c>
      <c r="P15" s="3" t="s">
        <v>18</v>
      </c>
      <c r="Q15" s="13">
        <f>$AE$5/(($C18+$K18)*3+($Q18+$Y18)*2)*Q18</f>
        <v>96.675157476388151</v>
      </c>
      <c r="R15" s="4" t="s">
        <v>21</v>
      </c>
      <c r="S15" s="23">
        <v>0.5</v>
      </c>
      <c r="U15" s="34">
        <f>(T13+V12)/U31</f>
        <v>42.051652351163803</v>
      </c>
      <c r="X15" s="3" t="s">
        <v>18</v>
      </c>
      <c r="Y15" s="13">
        <f>$AE$5/(($C18+$K18)*3+($Q18+$Y18)*2)*Y18</f>
        <v>96.675157476388151</v>
      </c>
      <c r="Z15" s="4" t="s">
        <v>21</v>
      </c>
      <c r="AA15" s="23">
        <v>0.5</v>
      </c>
    </row>
    <row r="16" spans="2:39" x14ac:dyDescent="0.4">
      <c r="B16" s="3" t="s">
        <v>14</v>
      </c>
      <c r="C16" s="11">
        <f>(G12+G21)/D20/2</f>
        <v>2.2121212121212119</v>
      </c>
      <c r="D16" s="4" t="s">
        <v>22</v>
      </c>
      <c r="E16" s="24">
        <v>0</v>
      </c>
      <c r="J16" s="3" t="s">
        <v>14</v>
      </c>
      <c r="K16" s="11">
        <f>(G12+G21)/L20/2</f>
        <v>2.2121212121212119</v>
      </c>
      <c r="L16" s="4" t="s">
        <v>22</v>
      </c>
      <c r="M16" s="24">
        <v>0</v>
      </c>
      <c r="P16" s="3" t="s">
        <v>14</v>
      </c>
      <c r="Q16" s="11">
        <f>(U12+U21)/R20/2</f>
        <v>1.7676767676767677</v>
      </c>
      <c r="R16" s="4" t="s">
        <v>22</v>
      </c>
      <c r="S16" s="24">
        <v>0</v>
      </c>
      <c r="X16" s="3" t="s">
        <v>14</v>
      </c>
      <c r="Y16" s="11">
        <f>(U12+U21)/Z20/2</f>
        <v>1.7676767676767677</v>
      </c>
      <c r="Z16" s="4" t="s">
        <v>22</v>
      </c>
      <c r="AA16" s="24">
        <v>0</v>
      </c>
    </row>
    <row r="17" spans="2:27" x14ac:dyDescent="0.4">
      <c r="B17" s="3" t="s">
        <v>16</v>
      </c>
      <c r="C17" s="11">
        <f>C16/(2+C16)</f>
        <v>0.52517985611510787</v>
      </c>
      <c r="D17" s="4" t="s">
        <v>23</v>
      </c>
      <c r="E17" s="24">
        <v>0</v>
      </c>
      <c r="J17" s="3" t="s">
        <v>16</v>
      </c>
      <c r="K17" s="11">
        <f>K16/(2+K16)</f>
        <v>0.52517985611510787</v>
      </c>
      <c r="L17" s="4" t="s">
        <v>23</v>
      </c>
      <c r="M17" s="24">
        <v>0</v>
      </c>
      <c r="P17" s="3" t="s">
        <v>16</v>
      </c>
      <c r="Q17" s="11">
        <f>Q16/(2+Q16)</f>
        <v>0.46916890080428958</v>
      </c>
      <c r="R17" s="4" t="s">
        <v>23</v>
      </c>
      <c r="S17" s="24">
        <v>0</v>
      </c>
      <c r="X17" s="3" t="s">
        <v>16</v>
      </c>
      <c r="Y17" s="11">
        <f>Y16/(2+Y16)</f>
        <v>0.46916890080428958</v>
      </c>
      <c r="Z17" s="4" t="s">
        <v>23</v>
      </c>
      <c r="AA17" s="24">
        <v>0</v>
      </c>
    </row>
    <row r="18" spans="2:27" x14ac:dyDescent="0.4">
      <c r="B18" s="3" t="s">
        <v>17</v>
      </c>
      <c r="C18" s="11">
        <f>C17*D20</f>
        <v>0.51992805755395677</v>
      </c>
      <c r="D18" s="4" t="s">
        <v>24</v>
      </c>
      <c r="E18" s="24">
        <v>0</v>
      </c>
      <c r="J18" s="3" t="s">
        <v>17</v>
      </c>
      <c r="K18" s="11">
        <f>K17*L20</f>
        <v>0.51992805755395677</v>
      </c>
      <c r="L18" s="4" t="s">
        <v>24</v>
      </c>
      <c r="M18" s="24">
        <v>0</v>
      </c>
      <c r="P18" s="3" t="s">
        <v>17</v>
      </c>
      <c r="Q18" s="11">
        <f>Q17*R20</f>
        <v>0.46447721179624668</v>
      </c>
      <c r="R18" s="4" t="s">
        <v>24</v>
      </c>
      <c r="S18" s="24">
        <v>0</v>
      </c>
      <c r="X18" s="3" t="s">
        <v>17</v>
      </c>
      <c r="Y18" s="11">
        <f>Y17*Z20</f>
        <v>0.46447721179624668</v>
      </c>
      <c r="Z18" s="4" t="s">
        <v>24</v>
      </c>
      <c r="AA18" s="24">
        <v>0</v>
      </c>
    </row>
    <row r="19" spans="2:27" x14ac:dyDescent="0.4">
      <c r="B19" s="3" t="s">
        <v>27</v>
      </c>
      <c r="C19" s="25">
        <f>C15*$AF$5*E14</f>
        <v>202.90605315451481</v>
      </c>
      <c r="D19" s="4" t="s">
        <v>38</v>
      </c>
      <c r="E19" s="16">
        <f>G15+E10</f>
        <v>67.851823123569886</v>
      </c>
      <c r="J19" s="3" t="s">
        <v>27</v>
      </c>
      <c r="K19" s="25">
        <f>K15*$AF$5*M14</f>
        <v>202.90605315451481</v>
      </c>
      <c r="L19" s="4" t="s">
        <v>38</v>
      </c>
      <c r="M19" s="16">
        <f>G15+M10</f>
        <v>67.851823123569886</v>
      </c>
      <c r="P19" s="3" t="s">
        <v>27</v>
      </c>
      <c r="Q19" s="25">
        <f>Q15*$AF$5*S14</f>
        <v>181.26592026822777</v>
      </c>
      <c r="R19" s="4" t="s">
        <v>38</v>
      </c>
      <c r="S19" s="16">
        <f>U15+S10</f>
        <v>60.577606560935962</v>
      </c>
      <c r="X19" s="3" t="s">
        <v>27</v>
      </c>
      <c r="Y19" s="25">
        <f>Y15*$AF$5*AA14</f>
        <v>181.26592026822777</v>
      </c>
      <c r="Z19" s="4" t="s">
        <v>38</v>
      </c>
      <c r="AA19" s="16">
        <f>U15+AA10</f>
        <v>60.577606560935962</v>
      </c>
    </row>
    <row r="20" spans="2:27" x14ac:dyDescent="0.4">
      <c r="C20" s="1"/>
      <c r="D20">
        <f>固定モーメント法!D20</f>
        <v>0.99</v>
      </c>
      <c r="K20" s="1"/>
      <c r="L20">
        <f>固定モーメント法!L20</f>
        <v>0.99</v>
      </c>
      <c r="Q20" s="1"/>
      <c r="R20">
        <f>固定モーメント法!R20</f>
        <v>0.99</v>
      </c>
      <c r="Y20" s="1"/>
      <c r="Z20">
        <f>固定モーメント法!Z20</f>
        <v>0.99</v>
      </c>
    </row>
    <row r="21" spans="2:27" ht="19.5" thickBot="1" x14ac:dyDescent="0.45">
      <c r="C21" s="1"/>
      <c r="D21" s="8"/>
      <c r="E21" s="2"/>
      <c r="F21" s="2" t="s">
        <v>28</v>
      </c>
      <c r="G21" s="21">
        <v>2.19</v>
      </c>
      <c r="H21" s="18">
        <f>K23+K19</f>
        <v>444.09877662401095</v>
      </c>
      <c r="I21" s="2"/>
      <c r="J21" s="2"/>
      <c r="K21" s="9"/>
      <c r="M21" s="20"/>
      <c r="Q21" s="1"/>
      <c r="R21" s="8"/>
      <c r="S21" s="2"/>
      <c r="T21" s="2" t="s">
        <v>28</v>
      </c>
      <c r="U21" s="51">
        <v>1.75</v>
      </c>
      <c r="V21" s="18">
        <f>Y23+Y19</f>
        <v>408.49308506398347</v>
      </c>
      <c r="W21" s="2"/>
      <c r="X21" s="2"/>
      <c r="Y21" s="9"/>
    </row>
    <row r="22" spans="2:27" x14ac:dyDescent="0.4">
      <c r="B22" s="3"/>
      <c r="C22" s="5"/>
      <c r="D22" s="6"/>
      <c r="E22" s="7"/>
      <c r="F22" s="18">
        <f>C23+C19</f>
        <v>444.09877662401095</v>
      </c>
      <c r="H22" s="26" t="s">
        <v>29</v>
      </c>
      <c r="J22" s="3"/>
      <c r="K22" s="10"/>
      <c r="L22" s="4"/>
      <c r="M22" s="7"/>
      <c r="P22" s="3"/>
      <c r="Q22" s="5"/>
      <c r="R22" s="6"/>
      <c r="S22" s="7"/>
      <c r="T22" s="18">
        <f>Q23+Q19</f>
        <v>408.49308506398347</v>
      </c>
      <c r="V22" s="26" t="s">
        <v>29</v>
      </c>
      <c r="X22" s="3"/>
      <c r="Y22" s="10"/>
      <c r="Z22" s="4"/>
      <c r="AA22" s="3"/>
    </row>
    <row r="23" spans="2:27" x14ac:dyDescent="0.4">
      <c r="B23" s="3" t="s">
        <v>26</v>
      </c>
      <c r="C23" s="25">
        <f>C24*$AF$6*(1-E23)</f>
        <v>241.19272346949617</v>
      </c>
      <c r="D23" s="4" t="s">
        <v>25</v>
      </c>
      <c r="E23" s="15">
        <f>SUM(E24:E27)</f>
        <v>0.54999999999999993</v>
      </c>
      <c r="G23" t="s">
        <v>18</v>
      </c>
      <c r="H23" s="18"/>
      <c r="J23" s="3" t="s">
        <v>26</v>
      </c>
      <c r="K23" s="25">
        <f>K24*$AF$6*(1-M23)</f>
        <v>241.19272346949617</v>
      </c>
      <c r="L23" s="4" t="s">
        <v>25</v>
      </c>
      <c r="M23" s="15">
        <f>SUM(M24:M27)</f>
        <v>0.54999999999999993</v>
      </c>
      <c r="P23" s="3" t="s">
        <v>26</v>
      </c>
      <c r="Q23" s="25">
        <f>Q24*$AF$6*(1-S23)</f>
        <v>227.22716479575567</v>
      </c>
      <c r="R23" s="4" t="s">
        <v>25</v>
      </c>
      <c r="S23" s="15">
        <f>SUM(S24:S27)</f>
        <v>0.54999999999999993</v>
      </c>
      <c r="U23" t="s">
        <v>18</v>
      </c>
      <c r="V23" s="18"/>
      <c r="X23" s="3" t="s">
        <v>26</v>
      </c>
      <c r="Y23" s="25">
        <f>Y24*$AF$6*(1-AA23)</f>
        <v>227.22716479575567</v>
      </c>
      <c r="Z23" s="4" t="s">
        <v>25</v>
      </c>
      <c r="AA23" s="15">
        <f>SUM(AA24:AA27)</f>
        <v>0.54999999999999993</v>
      </c>
    </row>
    <row r="24" spans="2:27" x14ac:dyDescent="0.4">
      <c r="B24" s="3" t="s">
        <v>18</v>
      </c>
      <c r="C24" s="13">
        <f>$AE$6/(($C27+$K27)*3+($Q27+$Y27)*2)*C27</f>
        <v>130.7277633981009</v>
      </c>
      <c r="D24" s="4" t="s">
        <v>21</v>
      </c>
      <c r="E24" s="23">
        <v>0.6</v>
      </c>
      <c r="G24" s="34">
        <f>(F22+H21)/G31</f>
        <v>65.890026205342863</v>
      </c>
      <c r="J24" s="3" t="s">
        <v>18</v>
      </c>
      <c r="K24" s="13">
        <f>$AE$6/(($C27+$K27)*3+($Q27+$Y27)*2)*K27</f>
        <v>130.7277633981009</v>
      </c>
      <c r="L24" s="4" t="s">
        <v>21</v>
      </c>
      <c r="M24" s="23">
        <v>0.6</v>
      </c>
      <c r="P24" s="3" t="s">
        <v>18</v>
      </c>
      <c r="Q24" s="13">
        <f>$AE$6/(($C27+$K27)*3+($Q27+$Y27)*2)*Q27</f>
        <v>123.15835490284859</v>
      </c>
      <c r="R24" s="4" t="s">
        <v>21</v>
      </c>
      <c r="S24" s="23">
        <v>0.6</v>
      </c>
      <c r="U24" s="34">
        <f>(T22+V21)/U31</f>
        <v>60.607282650442649</v>
      </c>
      <c r="X24" s="3" t="s">
        <v>18</v>
      </c>
      <c r="Y24" s="13">
        <f>$AE$6/(($C27+$K27)*3+($Q27+$Y27)*2)*Y27</f>
        <v>123.15835490284859</v>
      </c>
      <c r="Z24" s="4" t="s">
        <v>21</v>
      </c>
      <c r="AA24" s="23">
        <v>0.6</v>
      </c>
    </row>
    <row r="25" spans="2:27" x14ac:dyDescent="0.4">
      <c r="B25" s="3" t="s">
        <v>14</v>
      </c>
      <c r="C25" s="11">
        <f>(G21+G30)/2/D29</f>
        <v>2.1413830072366657</v>
      </c>
      <c r="D25" s="4" t="s">
        <v>22</v>
      </c>
      <c r="E25" s="47">
        <v>-0.05</v>
      </c>
      <c r="J25" s="3" t="s">
        <v>13</v>
      </c>
      <c r="K25" s="11">
        <f>(G21+G30)/2/L29</f>
        <v>2.1413830072366657</v>
      </c>
      <c r="L25" s="4" t="s">
        <v>22</v>
      </c>
      <c r="M25" s="47">
        <v>-0.05</v>
      </c>
      <c r="P25" s="3" t="s">
        <v>14</v>
      </c>
      <c r="Q25" s="11">
        <f>(U21+U30)/2/R29</f>
        <v>1.8996247654784237</v>
      </c>
      <c r="R25" s="4" t="s">
        <v>22</v>
      </c>
      <c r="S25" s="47">
        <v>-0.05</v>
      </c>
      <c r="X25" s="3" t="s">
        <v>13</v>
      </c>
      <c r="Y25" s="11">
        <f>(U21+U30)/2/Z29</f>
        <v>1.8996247654784237</v>
      </c>
      <c r="Z25" s="4" t="s">
        <v>22</v>
      </c>
      <c r="AA25" s="47">
        <v>-0.05</v>
      </c>
    </row>
    <row r="26" spans="2:27" x14ac:dyDescent="0.4">
      <c r="B26" s="3" t="s">
        <v>16</v>
      </c>
      <c r="C26" s="11">
        <f>C25/(2+C25)</f>
        <v>0.51706954017409312</v>
      </c>
      <c r="D26" s="4" t="s">
        <v>23</v>
      </c>
      <c r="E26" s="24">
        <v>0</v>
      </c>
      <c r="J26" s="3" t="s">
        <v>16</v>
      </c>
      <c r="K26" s="11">
        <f>K25/(2+K25)</f>
        <v>0.51706954017409312</v>
      </c>
      <c r="L26" s="4" t="s">
        <v>23</v>
      </c>
      <c r="M26" s="24">
        <v>0</v>
      </c>
      <c r="P26" s="3" t="s">
        <v>16</v>
      </c>
      <c r="Q26" s="11">
        <f>Q25/(2+Q25)</f>
        <v>0.48713014192927584</v>
      </c>
      <c r="R26" s="4" t="s">
        <v>23</v>
      </c>
      <c r="S26" s="24">
        <v>0</v>
      </c>
      <c r="X26" s="3" t="s">
        <v>16</v>
      </c>
      <c r="Y26" s="11">
        <f>Y25/(2+Y25)</f>
        <v>0.48713014192927584</v>
      </c>
      <c r="Z26" s="4" t="s">
        <v>23</v>
      </c>
      <c r="AA26" s="24">
        <v>0</v>
      </c>
    </row>
    <row r="27" spans="2:27" x14ac:dyDescent="0.4">
      <c r="B27" s="3" t="s">
        <v>17</v>
      </c>
      <c r="C27" s="11">
        <f>C26*D29</f>
        <v>0.47053328155842478</v>
      </c>
      <c r="D27" s="4" t="s">
        <v>24</v>
      </c>
      <c r="E27" s="24">
        <v>0</v>
      </c>
      <c r="J27" s="3" t="s">
        <v>17</v>
      </c>
      <c r="K27" s="11">
        <f>K26*L29</f>
        <v>0.47053328155842478</v>
      </c>
      <c r="L27" s="4" t="s">
        <v>24</v>
      </c>
      <c r="M27" s="24">
        <v>0</v>
      </c>
      <c r="P27" s="3" t="s">
        <v>17</v>
      </c>
      <c r="Q27" s="11">
        <f>Q26*R29</f>
        <v>0.44328842915564104</v>
      </c>
      <c r="R27" s="4" t="s">
        <v>24</v>
      </c>
      <c r="S27" s="24">
        <v>0</v>
      </c>
      <c r="X27" s="3" t="s">
        <v>17</v>
      </c>
      <c r="Y27" s="11">
        <f>Y26*Z29</f>
        <v>0.44328842915564104</v>
      </c>
      <c r="Z27" s="4" t="s">
        <v>24</v>
      </c>
      <c r="AA27" s="24">
        <v>0</v>
      </c>
    </row>
    <row r="28" spans="2:27" x14ac:dyDescent="0.4">
      <c r="B28" s="3" t="s">
        <v>27</v>
      </c>
      <c r="C28" s="25">
        <f>C24*$AF$6*E23</f>
        <v>294.79110646271749</v>
      </c>
      <c r="D28" s="4" t="s">
        <v>38</v>
      </c>
      <c r="E28" s="16">
        <f>G24+E19</f>
        <v>133.74184932891274</v>
      </c>
      <c r="J28" s="3" t="s">
        <v>27</v>
      </c>
      <c r="K28" s="25">
        <f>K24*$AF$6*M23</f>
        <v>294.79110646271749</v>
      </c>
      <c r="L28" s="4" t="s">
        <v>38</v>
      </c>
      <c r="M28" s="16">
        <f>G24+M19</f>
        <v>133.74184932891274</v>
      </c>
      <c r="P28" s="3" t="s">
        <v>27</v>
      </c>
      <c r="Q28" s="25">
        <f>Q24*$AF$6*S23</f>
        <v>277.72209030592353</v>
      </c>
      <c r="R28" s="4" t="s">
        <v>38</v>
      </c>
      <c r="S28" s="16">
        <f>U24+S19</f>
        <v>121.18488921137862</v>
      </c>
      <c r="X28" s="3" t="s">
        <v>27</v>
      </c>
      <c r="Y28" s="25">
        <f>Y24*$AF$6*AA23</f>
        <v>277.72209030592353</v>
      </c>
      <c r="Z28" s="4" t="s">
        <v>38</v>
      </c>
      <c r="AA28" s="16">
        <f>U24+AA19</f>
        <v>121.18488921137862</v>
      </c>
    </row>
    <row r="29" spans="2:27" x14ac:dyDescent="0.4">
      <c r="C29" s="1"/>
      <c r="D29" s="22">
        <f>固定モーメント法!D29</f>
        <v>0.91</v>
      </c>
      <c r="K29" s="1"/>
      <c r="L29">
        <f>固定モーメント法!L29</f>
        <v>0.91</v>
      </c>
      <c r="Q29" s="1"/>
      <c r="R29">
        <f>固定モーメント法!R29</f>
        <v>0.91</v>
      </c>
      <c r="Y29" s="1"/>
      <c r="Z29">
        <f>固定モーメント法!Z29</f>
        <v>0.91</v>
      </c>
    </row>
    <row r="30" spans="2:27" x14ac:dyDescent="0.4">
      <c r="C30" s="1"/>
      <c r="G30" s="40">
        <f>基礎梁成と変形関係!E6/10^5</f>
        <v>1.7073170731707317</v>
      </c>
      <c r="K30" s="1"/>
      <c r="Q30" s="1"/>
      <c r="U30" s="40">
        <f>基礎梁成と変形関係!E6/10^5</f>
        <v>1.7073170731707317</v>
      </c>
      <c r="Y30" s="1"/>
    </row>
    <row r="31" spans="2:27" x14ac:dyDescent="0.4">
      <c r="D31" s="18"/>
      <c r="F31" t="s">
        <v>37</v>
      </c>
      <c r="G31">
        <v>13.48</v>
      </c>
      <c r="L31" s="18"/>
      <c r="R31" s="18"/>
      <c r="U31">
        <v>13.48</v>
      </c>
      <c r="Z31" s="18"/>
    </row>
    <row r="34" spans="2:37" ht="19.5" thickBot="1" x14ac:dyDescent="0.45">
      <c r="D34" s="2"/>
      <c r="E34" s="2"/>
      <c r="F34" s="2" t="s">
        <v>28</v>
      </c>
      <c r="G34" s="21">
        <v>0.6</v>
      </c>
      <c r="H34" s="18">
        <f>(K36+K32)/(G34+O34)*G34</f>
        <v>88.368267008541153</v>
      </c>
      <c r="I34" s="2"/>
      <c r="J34" s="2"/>
      <c r="K34" s="2"/>
      <c r="L34" s="2"/>
      <c r="M34" s="2"/>
      <c r="N34" s="2" t="s">
        <v>28</v>
      </c>
      <c r="O34" s="21">
        <v>0.59</v>
      </c>
      <c r="P34" s="18">
        <f>(S36+S32)/(O34+W34)*O34</f>
        <v>87.295112231536422</v>
      </c>
      <c r="Q34" s="2"/>
      <c r="R34" s="2"/>
      <c r="T34" s="2"/>
      <c r="U34" s="2"/>
      <c r="V34" s="2" t="s">
        <v>28</v>
      </c>
      <c r="W34" s="21">
        <v>0.59</v>
      </c>
      <c r="X34" s="18">
        <f>(AA36+AA32)/(W34+AE34)*W34</f>
        <v>86.895462558398791</v>
      </c>
      <c r="Y34" s="2"/>
      <c r="Z34" s="2"/>
      <c r="AB34" s="2"/>
      <c r="AC34" s="2"/>
      <c r="AD34" s="2" t="s">
        <v>28</v>
      </c>
      <c r="AE34" s="21">
        <v>0.6</v>
      </c>
      <c r="AF34" s="18">
        <f>(AI36+AI32)/(AE34+AM34)*AE34</f>
        <v>107.48702155618203</v>
      </c>
      <c r="AG34" s="2"/>
      <c r="AH34" s="2"/>
      <c r="AI34" s="2"/>
    </row>
    <row r="35" spans="2:37" x14ac:dyDescent="0.4">
      <c r="B35" s="3"/>
      <c r="C35" s="5"/>
      <c r="D35" s="6"/>
      <c r="E35" s="7"/>
      <c r="F35" s="18">
        <f>C36+C32</f>
        <v>107.48702155618203</v>
      </c>
      <c r="H35" s="26" t="s">
        <v>29</v>
      </c>
      <c r="J35" s="3"/>
      <c r="K35" s="10"/>
      <c r="L35" s="6"/>
      <c r="M35" s="7"/>
      <c r="N35" s="18">
        <f>(K36+K32)/(G34+O34)*O34</f>
        <v>86.895462558398791</v>
      </c>
      <c r="P35" s="26" t="s">
        <v>29</v>
      </c>
      <c r="R35" s="3"/>
      <c r="S35" s="10"/>
      <c r="T35" s="6"/>
      <c r="U35" s="7"/>
      <c r="V35" s="18">
        <f>(S36+S32)/(O34+W34)*W34</f>
        <v>87.295112231536422</v>
      </c>
      <c r="X35" s="26" t="s">
        <v>29</v>
      </c>
      <c r="Z35" s="3"/>
      <c r="AA35" s="10"/>
      <c r="AB35" s="6"/>
      <c r="AC35" s="7"/>
      <c r="AD35" s="18">
        <f>(AA36+AA32)/(W34+AE34)*AE34</f>
        <v>88.368267008541153</v>
      </c>
      <c r="AF35" s="26" t="s">
        <v>29</v>
      </c>
      <c r="AH35" s="3"/>
      <c r="AI35" s="10"/>
      <c r="AJ35" s="4"/>
      <c r="AK35" s="3"/>
    </row>
    <row r="36" spans="2:37" x14ac:dyDescent="0.4">
      <c r="B36" s="3" t="s">
        <v>26</v>
      </c>
      <c r="C36" s="25">
        <f>C37*$AF$4*(1-E36)</f>
        <v>107.48702155618203</v>
      </c>
      <c r="D36" s="4" t="s">
        <v>25</v>
      </c>
      <c r="E36" s="15">
        <f>SUM(E37:E40)</f>
        <v>0.4</v>
      </c>
      <c r="G36" t="s">
        <v>18</v>
      </c>
      <c r="H36" s="18"/>
      <c r="J36" s="3" t="s">
        <v>26</v>
      </c>
      <c r="K36" s="25">
        <f>K37*$AF$6*(1-M36)</f>
        <v>175.26372956693996</v>
      </c>
      <c r="L36" s="4" t="s">
        <v>25</v>
      </c>
      <c r="M36" s="15">
        <f>SUM(M37:M40)</f>
        <v>0.44850000000000001</v>
      </c>
      <c r="N36" s="30"/>
      <c r="O36" t="s">
        <v>18</v>
      </c>
      <c r="P36" s="18"/>
      <c r="R36" s="3" t="s">
        <v>26</v>
      </c>
      <c r="S36" s="25">
        <f>S37*$AF$6*(1-U36)</f>
        <v>174.59022446307284</v>
      </c>
      <c r="T36" s="4" t="s">
        <v>25</v>
      </c>
      <c r="U36" s="15">
        <f>SUM(U37:U40)</f>
        <v>0.44800000000000001</v>
      </c>
      <c r="V36" s="30"/>
      <c r="W36" t="s">
        <v>18</v>
      </c>
      <c r="X36" s="18"/>
      <c r="Z36" s="3" t="s">
        <v>26</v>
      </c>
      <c r="AA36" s="25">
        <f>AA37*$AF$6*(1-AC36)</f>
        <v>175.26372956693996</v>
      </c>
      <c r="AB36" s="4" t="s">
        <v>25</v>
      </c>
      <c r="AC36" s="15">
        <f>SUM(AC37:AC40)</f>
        <v>0.44850000000000001</v>
      </c>
      <c r="AD36" s="30"/>
      <c r="AE36" t="s">
        <v>18</v>
      </c>
      <c r="AF36" s="18"/>
      <c r="AH36" s="3" t="s">
        <v>26</v>
      </c>
      <c r="AI36" s="25">
        <f>AI37*$AF$4*(1-AK36)</f>
        <v>107.48702155618203</v>
      </c>
      <c r="AJ36" s="4" t="s">
        <v>25</v>
      </c>
      <c r="AK36" s="15">
        <f>SUM(AK37:AK40)</f>
        <v>0.4</v>
      </c>
    </row>
    <row r="37" spans="2:37" x14ac:dyDescent="0.4">
      <c r="B37" s="3" t="s">
        <v>18</v>
      </c>
      <c r="C37" s="13">
        <f>$AE$4/($C40+$K40+$S40+$AA40+$AI40)/2*C40</f>
        <v>48.417577277559474</v>
      </c>
      <c r="D37" s="4" t="s">
        <v>21</v>
      </c>
      <c r="E37" s="23">
        <v>0.4</v>
      </c>
      <c r="G37" s="34">
        <f>(F35+H34)/G63</f>
        <v>34.726114993745249</v>
      </c>
      <c r="J37" s="3" t="s">
        <v>18</v>
      </c>
      <c r="K37" s="13">
        <f>$AE$4/($C40+$K40+$S40+$AA40+$AI40)/2*K40</f>
        <v>77.510881439506434</v>
      </c>
      <c r="L37" s="4" t="s">
        <v>21</v>
      </c>
      <c r="M37" s="23">
        <v>0.44850000000000001</v>
      </c>
      <c r="N37" s="28"/>
      <c r="O37" s="34">
        <f>(N35+P34)/O63</f>
        <v>30.55974996314653</v>
      </c>
      <c r="R37" s="3" t="s">
        <v>18</v>
      </c>
      <c r="S37" s="13">
        <f>$AE$4/($C40+$K40+$S40+$AA40+$AI40)/2*S40</f>
        <v>77.14308256586817</v>
      </c>
      <c r="T37" s="4" t="s">
        <v>21</v>
      </c>
      <c r="U37" s="23">
        <v>0.44800000000000001</v>
      </c>
      <c r="V37" s="28"/>
      <c r="W37" s="34">
        <f>(V35+X34)/W63</f>
        <v>30.55974996314653</v>
      </c>
      <c r="Z37" s="3" t="s">
        <v>18</v>
      </c>
      <c r="AA37" s="13">
        <f>$AE$4/($C40+$K40+$S40+$AA40+$AI40)/2*AA40</f>
        <v>77.510881439506434</v>
      </c>
      <c r="AB37" s="4" t="s">
        <v>21</v>
      </c>
      <c r="AC37" s="23">
        <v>0.44850000000000001</v>
      </c>
      <c r="AD37" s="28"/>
      <c r="AE37" s="34">
        <f>(AD35+AF34)/AE63</f>
        <v>34.726114993745249</v>
      </c>
      <c r="AH37" s="3" t="s">
        <v>18</v>
      </c>
      <c r="AI37" s="13">
        <f>$AE$4/($C40+$K40+$S40+$AA40+$AI40)/2*AI40</f>
        <v>48.417577277559474</v>
      </c>
      <c r="AJ37" s="4" t="s">
        <v>21</v>
      </c>
      <c r="AK37" s="23">
        <v>0.4</v>
      </c>
    </row>
    <row r="38" spans="2:37" x14ac:dyDescent="0.4">
      <c r="B38" s="3" t="s">
        <v>14</v>
      </c>
      <c r="C38" s="11">
        <f>(G34+G43)/D42/2</f>
        <v>0.64356435643564347</v>
      </c>
      <c r="D38" s="4" t="s">
        <v>22</v>
      </c>
      <c r="E38" s="24">
        <v>0</v>
      </c>
      <c r="J38" s="3" t="s">
        <v>14</v>
      </c>
      <c r="K38" s="11">
        <f>(O34+G34+G43+O43)/2/L42</f>
        <v>1.2772277227722773</v>
      </c>
      <c r="L38" s="4" t="s">
        <v>22</v>
      </c>
      <c r="M38" s="24">
        <v>0</v>
      </c>
      <c r="N38" s="29"/>
      <c r="R38" s="3" t="s">
        <v>14</v>
      </c>
      <c r="S38" s="11">
        <f>(W34+O34+O43+W43)/2/T42</f>
        <v>1.2673267326732671</v>
      </c>
      <c r="T38" s="4" t="s">
        <v>22</v>
      </c>
      <c r="U38" s="24">
        <v>0</v>
      </c>
      <c r="V38" s="29"/>
      <c r="Z38" s="3" t="s">
        <v>14</v>
      </c>
      <c r="AA38" s="11">
        <f>(AE34+W34+W43+AE43)/2/AB42</f>
        <v>1.2772277227722773</v>
      </c>
      <c r="AB38" s="4" t="s">
        <v>22</v>
      </c>
      <c r="AC38" s="24">
        <v>0</v>
      </c>
      <c r="AD38" s="29"/>
      <c r="AH38" s="3" t="s">
        <v>14</v>
      </c>
      <c r="AI38" s="11">
        <f>(AE34+AE43)/AJ42/2</f>
        <v>0.64356435643564347</v>
      </c>
      <c r="AJ38" s="4" t="s">
        <v>22</v>
      </c>
      <c r="AK38" s="24">
        <v>0</v>
      </c>
    </row>
    <row r="39" spans="2:37" x14ac:dyDescent="0.4">
      <c r="B39" s="3" t="s">
        <v>16</v>
      </c>
      <c r="C39" s="11">
        <f>C38/(2+C38)</f>
        <v>0.24344569288389512</v>
      </c>
      <c r="D39" s="4" t="s">
        <v>23</v>
      </c>
      <c r="E39" s="24">
        <v>0</v>
      </c>
      <c r="J39" s="3" t="s">
        <v>16</v>
      </c>
      <c r="K39" s="11">
        <f>K38/(2+K38)</f>
        <v>0.38972809667673713</v>
      </c>
      <c r="L39" s="4" t="s">
        <v>23</v>
      </c>
      <c r="M39" s="24">
        <v>0</v>
      </c>
      <c r="N39" s="29"/>
      <c r="R39" s="3" t="s">
        <v>16</v>
      </c>
      <c r="S39" s="11">
        <f>S38/(2+S38)</f>
        <v>0.38787878787878782</v>
      </c>
      <c r="T39" s="4" t="s">
        <v>23</v>
      </c>
      <c r="U39" s="24">
        <v>0</v>
      </c>
      <c r="V39" s="29"/>
      <c r="Z39" s="3" t="s">
        <v>16</v>
      </c>
      <c r="AA39" s="11">
        <f>AA38/(2+AA38)</f>
        <v>0.38972809667673713</v>
      </c>
      <c r="AB39" s="4" t="s">
        <v>23</v>
      </c>
      <c r="AC39" s="24">
        <v>0</v>
      </c>
      <c r="AD39" s="29"/>
      <c r="AH39" s="3" t="s">
        <v>16</v>
      </c>
      <c r="AI39" s="11">
        <f>AI38/(2+AI38)</f>
        <v>0.24344569288389512</v>
      </c>
      <c r="AJ39" s="4" t="s">
        <v>23</v>
      </c>
      <c r="AK39" s="24">
        <v>0</v>
      </c>
    </row>
    <row r="40" spans="2:37" x14ac:dyDescent="0.4">
      <c r="B40" s="3" t="s">
        <v>17</v>
      </c>
      <c r="C40" s="11">
        <f>C39*D42</f>
        <v>0.24588014981273407</v>
      </c>
      <c r="D40" s="4" t="s">
        <v>24</v>
      </c>
      <c r="E40" s="24">
        <v>0</v>
      </c>
      <c r="J40" s="3" t="s">
        <v>17</v>
      </c>
      <c r="K40" s="11">
        <f>K39*L42</f>
        <v>0.39362537764350453</v>
      </c>
      <c r="L40" s="4" t="s">
        <v>24</v>
      </c>
      <c r="M40" s="24">
        <v>0</v>
      </c>
      <c r="N40" s="29"/>
      <c r="R40" s="3" t="s">
        <v>17</v>
      </c>
      <c r="S40" s="11">
        <f>S39*T42</f>
        <v>0.39175757575757569</v>
      </c>
      <c r="T40" s="4" t="s">
        <v>24</v>
      </c>
      <c r="U40" s="24">
        <v>0</v>
      </c>
      <c r="V40" s="29"/>
      <c r="Z40" s="3" t="s">
        <v>17</v>
      </c>
      <c r="AA40" s="11">
        <f>AA39*AB42</f>
        <v>0.39362537764350453</v>
      </c>
      <c r="AB40" s="4" t="s">
        <v>24</v>
      </c>
      <c r="AC40" s="24">
        <v>0</v>
      </c>
      <c r="AD40" s="29"/>
      <c r="AH40" s="3" t="s">
        <v>17</v>
      </c>
      <c r="AI40" s="11">
        <f>AI39*AJ42</f>
        <v>0.24588014981273407</v>
      </c>
      <c r="AJ40" s="4" t="s">
        <v>24</v>
      </c>
      <c r="AK40" s="24">
        <v>0</v>
      </c>
    </row>
    <row r="41" spans="2:37" x14ac:dyDescent="0.4">
      <c r="B41" s="3" t="s">
        <v>27</v>
      </c>
      <c r="C41" s="25">
        <f>C37*$AF$4*E36</f>
        <v>71.658014370788024</v>
      </c>
      <c r="D41" s="4" t="s">
        <v>38</v>
      </c>
      <c r="E41" s="16">
        <f>G37</f>
        <v>34.726114993745249</v>
      </c>
      <c r="J41" s="3" t="s">
        <v>27</v>
      </c>
      <c r="K41" s="25">
        <f>K37*$AF$6*M36</f>
        <v>142.53088433503638</v>
      </c>
      <c r="L41" s="4" t="s">
        <v>38</v>
      </c>
      <c r="M41" s="16">
        <f>O37-G37</f>
        <v>-4.166365030598719</v>
      </c>
      <c r="N41" s="29"/>
      <c r="R41" s="3" t="s">
        <v>27</v>
      </c>
      <c r="S41" s="25">
        <f>S37*$AF$6*U36</f>
        <v>141.69641405698664</v>
      </c>
      <c r="T41" s="4" t="s">
        <v>38</v>
      </c>
      <c r="U41" s="16">
        <f>W37-O37</f>
        <v>0</v>
      </c>
      <c r="V41" s="29"/>
      <c r="Z41" s="3" t="s">
        <v>27</v>
      </c>
      <c r="AA41" s="25">
        <f>AA37*$AF$6*AC36</f>
        <v>142.53088433503638</v>
      </c>
      <c r="AB41" s="4" t="s">
        <v>38</v>
      </c>
      <c r="AC41" s="16">
        <f>AE37-W37</f>
        <v>4.166365030598719</v>
      </c>
      <c r="AD41" s="29"/>
      <c r="AH41" s="3" t="s">
        <v>27</v>
      </c>
      <c r="AI41" s="25">
        <f>AI37*$AF$4*AK36</f>
        <v>71.658014370788024</v>
      </c>
      <c r="AJ41" s="4" t="s">
        <v>38</v>
      </c>
      <c r="AK41" s="16">
        <f>AE37</f>
        <v>34.726114993745249</v>
      </c>
    </row>
    <row r="42" spans="2:37" x14ac:dyDescent="0.4">
      <c r="C42" s="1"/>
      <c r="D42">
        <f>固定モーメント法!D42</f>
        <v>1.01</v>
      </c>
      <c r="K42" s="1"/>
      <c r="L42">
        <f>固定モーメント法!L42</f>
        <v>1.01</v>
      </c>
      <c r="S42" s="1"/>
      <c r="T42">
        <f>固定モーメント法!T42</f>
        <v>1.01</v>
      </c>
      <c r="AA42" s="1"/>
      <c r="AB42">
        <f>固定モーメント法!AB42</f>
        <v>1.01</v>
      </c>
      <c r="AI42" s="1"/>
      <c r="AJ42">
        <f>固定モーメント法!AJ42</f>
        <v>1.01</v>
      </c>
    </row>
    <row r="43" spans="2:37" ht="19.5" thickBot="1" x14ac:dyDescent="0.45">
      <c r="C43" s="1"/>
      <c r="D43" s="8"/>
      <c r="E43" s="2"/>
      <c r="F43" s="2" t="s">
        <v>28</v>
      </c>
      <c r="G43" s="21">
        <v>0.7</v>
      </c>
      <c r="H43" s="18">
        <f>(K45+K41)/(G43+O43)*G43</f>
        <v>196.10584760402014</v>
      </c>
      <c r="I43" s="2"/>
      <c r="J43" s="2"/>
      <c r="K43" s="9"/>
      <c r="L43" s="8"/>
      <c r="M43" s="2"/>
      <c r="N43" s="2" t="s">
        <v>28</v>
      </c>
      <c r="O43" s="21">
        <v>0.69</v>
      </c>
      <c r="P43" s="18">
        <f>(S45+S41)/(O43+W43)*O43</f>
        <v>193.89271542420181</v>
      </c>
      <c r="Q43" s="2"/>
      <c r="R43" s="2"/>
      <c r="S43" s="9"/>
      <c r="T43" s="8"/>
      <c r="U43" s="2"/>
      <c r="V43" s="2" t="s">
        <v>28</v>
      </c>
      <c r="W43" s="21">
        <v>0.69</v>
      </c>
      <c r="X43" s="18">
        <f>(AA45+AA41)/(W43+AE43)*W43</f>
        <v>193.30433549539129</v>
      </c>
      <c r="Y43" s="2"/>
      <c r="Z43" s="2"/>
      <c r="AA43" s="9"/>
      <c r="AB43" s="8"/>
      <c r="AC43" s="2"/>
      <c r="AD43" s="2" t="s">
        <v>28</v>
      </c>
      <c r="AE43" s="21">
        <v>0.7</v>
      </c>
      <c r="AF43" s="18">
        <f>(AI45+AI41)/(AE43+AM43)*AE43</f>
        <v>232.19327369594853</v>
      </c>
      <c r="AG43" s="2"/>
      <c r="AH43" s="2"/>
      <c r="AI43" s="9"/>
      <c r="AK43" s="20"/>
    </row>
    <row r="44" spans="2:37" x14ac:dyDescent="0.4">
      <c r="B44" s="3"/>
      <c r="C44" s="5"/>
      <c r="D44" s="6"/>
      <c r="E44" s="7"/>
      <c r="F44" s="18">
        <f>C45+C41</f>
        <v>232.19327369594851</v>
      </c>
      <c r="H44" s="26" t="s">
        <v>29</v>
      </c>
      <c r="J44" s="3"/>
      <c r="K44" s="10"/>
      <c r="L44" s="6"/>
      <c r="M44" s="7"/>
      <c r="N44" s="18">
        <f>(K45+K41)/(G43+O43)*O43</f>
        <v>193.30433549539129</v>
      </c>
      <c r="P44" s="26" t="s">
        <v>29</v>
      </c>
      <c r="R44" s="3"/>
      <c r="S44" s="10"/>
      <c r="T44" s="6"/>
      <c r="U44" s="7"/>
      <c r="V44" s="18">
        <f>(S45+S41)/(O43+W43)*W43</f>
        <v>193.89271542420181</v>
      </c>
      <c r="X44" s="26" t="s">
        <v>29</v>
      </c>
      <c r="Z44" s="3"/>
      <c r="AA44" s="10"/>
      <c r="AB44" s="6"/>
      <c r="AC44" s="7"/>
      <c r="AD44" s="18">
        <f>(AA45+AA41)/(W43+AE43)*AE43</f>
        <v>196.10584760402014</v>
      </c>
      <c r="AF44" s="26" t="s">
        <v>29</v>
      </c>
      <c r="AH44" s="3"/>
      <c r="AI44" s="10"/>
      <c r="AJ44" s="4"/>
      <c r="AK44" s="7"/>
    </row>
    <row r="45" spans="2:37" x14ac:dyDescent="0.4">
      <c r="B45" s="3" t="s">
        <v>26</v>
      </c>
      <c r="C45" s="25">
        <f>C46*$AF$5*(1-E45)</f>
        <v>160.53525932516047</v>
      </c>
      <c r="D45" s="4" t="s">
        <v>25</v>
      </c>
      <c r="E45" s="15">
        <f>SUM(E46:E49)</f>
        <v>0.45500000000000002</v>
      </c>
      <c r="G45" t="s">
        <v>18</v>
      </c>
      <c r="H45" s="18"/>
      <c r="J45" s="3" t="s">
        <v>26</v>
      </c>
      <c r="K45" s="25">
        <f>K46*$AF$6*(1-M45)</f>
        <v>246.87929876437505</v>
      </c>
      <c r="L45" s="4" t="s">
        <v>25</v>
      </c>
      <c r="M45" s="15">
        <f>SUM(M46:M49)</f>
        <v>0.5</v>
      </c>
      <c r="N45" s="30"/>
      <c r="O45" t="s">
        <v>18</v>
      </c>
      <c r="P45" s="18"/>
      <c r="R45" s="3" t="s">
        <v>26</v>
      </c>
      <c r="S45" s="25">
        <f>S46*$AF$6*(1-U45)</f>
        <v>246.08901679141701</v>
      </c>
      <c r="T45" s="4" t="s">
        <v>25</v>
      </c>
      <c r="U45" s="15">
        <f>SUM(U46:U49)</f>
        <v>0.5</v>
      </c>
      <c r="V45" s="30"/>
      <c r="W45" t="s">
        <v>18</v>
      </c>
      <c r="X45" s="18"/>
      <c r="Z45" s="3" t="s">
        <v>26</v>
      </c>
      <c r="AA45" s="25">
        <f>AA46*$AF$6*(1-AC45)</f>
        <v>246.87929876437505</v>
      </c>
      <c r="AB45" s="4" t="s">
        <v>25</v>
      </c>
      <c r="AC45" s="15">
        <f>SUM(AC46:AC49)</f>
        <v>0.5</v>
      </c>
      <c r="AD45" s="30"/>
      <c r="AE45" t="s">
        <v>18</v>
      </c>
      <c r="AF45" s="18"/>
      <c r="AH45" s="3" t="s">
        <v>26</v>
      </c>
      <c r="AI45" s="25">
        <f>AI46*$AF$5*(1-AK45)</f>
        <v>160.53525932516047</v>
      </c>
      <c r="AJ45" s="4" t="s">
        <v>25</v>
      </c>
      <c r="AK45" s="15">
        <f>SUM(AK46:AK49)</f>
        <v>0.45500000000000002</v>
      </c>
    </row>
    <row r="46" spans="2:37" x14ac:dyDescent="0.4">
      <c r="B46" s="3" t="s">
        <v>18</v>
      </c>
      <c r="C46" s="13">
        <f>$AE$5/($C49+$K49+$S49+$AA49+$AI49)/2*C49</f>
        <v>78.549362360934794</v>
      </c>
      <c r="D46" s="4" t="s">
        <v>21</v>
      </c>
      <c r="E46" s="23">
        <v>0.45500000000000002</v>
      </c>
      <c r="G46" s="34">
        <f>(F44+H43)/G63</f>
        <v>75.939560514178837</v>
      </c>
      <c r="J46" s="3" t="s">
        <v>18</v>
      </c>
      <c r="K46" s="13">
        <f>$AE$5/($C49+$K49+$S49+$AA49+$AI49)/2*K49</f>
        <v>120.42892622652442</v>
      </c>
      <c r="L46" s="4" t="s">
        <v>21</v>
      </c>
      <c r="M46" s="23">
        <v>0.5</v>
      </c>
      <c r="N46" s="28"/>
      <c r="O46" s="34">
        <f>(N44+P43)/O63</f>
        <v>67.929307178875973</v>
      </c>
      <c r="R46" s="3" t="s">
        <v>18</v>
      </c>
      <c r="S46" s="13">
        <f>$AE$5/($C49+$K49+$S49+$AA49+$AI49)/2*S49</f>
        <v>120.04342282508148</v>
      </c>
      <c r="T46" s="4" t="s">
        <v>21</v>
      </c>
      <c r="U46" s="23">
        <v>0.5</v>
      </c>
      <c r="V46" s="28"/>
      <c r="W46" s="34">
        <f>(V44+X43)/W63</f>
        <v>67.929307178875973</v>
      </c>
      <c r="Z46" s="3" t="s">
        <v>18</v>
      </c>
      <c r="AA46" s="13">
        <f>$AE$5/($C49+$K49+$S49+$AA49+$AI49)/2*AA49</f>
        <v>120.42892622652442</v>
      </c>
      <c r="AB46" s="4" t="s">
        <v>21</v>
      </c>
      <c r="AC46" s="23">
        <v>0.5</v>
      </c>
      <c r="AD46" s="28"/>
      <c r="AE46" s="34">
        <f>(AD44+AF43)/AE63</f>
        <v>75.939560514178837</v>
      </c>
      <c r="AH46" s="3" t="s">
        <v>18</v>
      </c>
      <c r="AI46" s="13">
        <f>$AE$5/($C49+$K49+$S49+$AA49+$AI49)/2*AI49</f>
        <v>78.549362360934794</v>
      </c>
      <c r="AJ46" s="4" t="s">
        <v>21</v>
      </c>
      <c r="AK46" s="23">
        <v>0.45500000000000002</v>
      </c>
    </row>
    <row r="47" spans="2:37" x14ac:dyDescent="0.4">
      <c r="B47" s="3" t="s">
        <v>14</v>
      </c>
      <c r="C47" s="11">
        <f>(G43+G52)/D51/2</f>
        <v>0.85858585858585856</v>
      </c>
      <c r="D47" s="4" t="s">
        <v>22</v>
      </c>
      <c r="E47" s="24">
        <v>0</v>
      </c>
      <c r="J47" s="3" t="s">
        <v>14</v>
      </c>
      <c r="K47" s="11">
        <f>(O43+G43+G52+O52)/2/L51</f>
        <v>1.707070707070707</v>
      </c>
      <c r="L47" s="4" t="s">
        <v>22</v>
      </c>
      <c r="M47" s="24">
        <v>0</v>
      </c>
      <c r="N47" s="29"/>
      <c r="R47" s="3" t="s">
        <v>14</v>
      </c>
      <c r="S47" s="11">
        <f>(W43+O43+O52+W52)/2/T51</f>
        <v>1.6969696969696972</v>
      </c>
      <c r="T47" s="4" t="s">
        <v>22</v>
      </c>
      <c r="U47" s="24">
        <v>0</v>
      </c>
      <c r="V47" s="29"/>
      <c r="Z47" s="3" t="s">
        <v>14</v>
      </c>
      <c r="AA47" s="11">
        <f>(AE43+W43+W52+AE52)/2/AB51</f>
        <v>1.707070707070707</v>
      </c>
      <c r="AB47" s="4" t="s">
        <v>22</v>
      </c>
      <c r="AC47" s="24">
        <v>0</v>
      </c>
      <c r="AD47" s="29"/>
      <c r="AH47" s="3" t="s">
        <v>14</v>
      </c>
      <c r="AI47" s="11">
        <f>(AE43+AE52)/AJ51/2</f>
        <v>0.85858585858585856</v>
      </c>
      <c r="AJ47" s="4" t="s">
        <v>22</v>
      </c>
      <c r="AK47" s="24">
        <v>0</v>
      </c>
    </row>
    <row r="48" spans="2:37" x14ac:dyDescent="0.4">
      <c r="B48" s="3" t="s">
        <v>16</v>
      </c>
      <c r="C48" s="11">
        <f>C47/(2+C47)</f>
        <v>0.30035335689045933</v>
      </c>
      <c r="D48" s="4" t="s">
        <v>23</v>
      </c>
      <c r="E48" s="24">
        <v>0</v>
      </c>
      <c r="J48" s="3" t="s">
        <v>16</v>
      </c>
      <c r="K48" s="11">
        <f>K47/(2+K47)</f>
        <v>0.46049046321525888</v>
      </c>
      <c r="L48" s="4" t="s">
        <v>23</v>
      </c>
      <c r="M48" s="24">
        <v>0</v>
      </c>
      <c r="N48" s="29"/>
      <c r="R48" s="3" t="s">
        <v>16</v>
      </c>
      <c r="S48" s="11">
        <f>S47/(2+S47)</f>
        <v>0.45901639344262302</v>
      </c>
      <c r="T48" s="4" t="s">
        <v>23</v>
      </c>
      <c r="U48" s="24">
        <v>0</v>
      </c>
      <c r="V48" s="29"/>
      <c r="Z48" s="3" t="s">
        <v>16</v>
      </c>
      <c r="AA48" s="11">
        <f>AA47/(2+AA47)</f>
        <v>0.46049046321525888</v>
      </c>
      <c r="AB48" s="4" t="s">
        <v>23</v>
      </c>
      <c r="AC48" s="24">
        <v>0</v>
      </c>
      <c r="AD48" s="29"/>
      <c r="AH48" s="3" t="s">
        <v>16</v>
      </c>
      <c r="AI48" s="11">
        <f>AI47/(2+AI47)</f>
        <v>0.30035335689045933</v>
      </c>
      <c r="AJ48" s="4" t="s">
        <v>23</v>
      </c>
      <c r="AK48" s="24">
        <v>0</v>
      </c>
    </row>
    <row r="49" spans="2:37" x14ac:dyDescent="0.4">
      <c r="B49" s="3" t="s">
        <v>17</v>
      </c>
      <c r="C49" s="11">
        <f>C48*D51</f>
        <v>0.29734982332155474</v>
      </c>
      <c r="D49" s="4" t="s">
        <v>24</v>
      </c>
      <c r="E49" s="24">
        <v>0</v>
      </c>
      <c r="J49" s="3" t="s">
        <v>17</v>
      </c>
      <c r="K49" s="11">
        <f>K48*L51</f>
        <v>0.45588555858310631</v>
      </c>
      <c r="L49" s="4" t="s">
        <v>24</v>
      </c>
      <c r="M49" s="24">
        <v>0</v>
      </c>
      <c r="N49" s="29"/>
      <c r="R49" s="3" t="s">
        <v>17</v>
      </c>
      <c r="S49" s="11">
        <f>S48*T51</f>
        <v>0.45442622950819678</v>
      </c>
      <c r="T49" s="4" t="s">
        <v>24</v>
      </c>
      <c r="U49" s="24">
        <v>0</v>
      </c>
      <c r="V49" s="29"/>
      <c r="Z49" s="3" t="s">
        <v>17</v>
      </c>
      <c r="AA49" s="11">
        <f>AA48*AB51</f>
        <v>0.45588555858310631</v>
      </c>
      <c r="AB49" s="4" t="s">
        <v>24</v>
      </c>
      <c r="AC49" s="24">
        <v>0</v>
      </c>
      <c r="AD49" s="29"/>
      <c r="AH49" s="3" t="s">
        <v>17</v>
      </c>
      <c r="AI49" s="11">
        <f>AI48*AJ51</f>
        <v>0.29734982332155474</v>
      </c>
      <c r="AJ49" s="4" t="s">
        <v>24</v>
      </c>
      <c r="AK49" s="24">
        <v>0</v>
      </c>
    </row>
    <row r="50" spans="2:37" x14ac:dyDescent="0.4">
      <c r="B50" s="3" t="s">
        <v>27</v>
      </c>
      <c r="C50" s="25">
        <f>C46*$AF$5*E45</f>
        <v>134.02484952834499</v>
      </c>
      <c r="D50" s="4" t="s">
        <v>38</v>
      </c>
      <c r="E50" s="16">
        <f>G46+E41</f>
        <v>110.66567550792408</v>
      </c>
      <c r="J50" s="3" t="s">
        <v>27</v>
      </c>
      <c r="K50" s="25">
        <f>K46*$AF$6*M45</f>
        <v>246.87929876437505</v>
      </c>
      <c r="L50" s="4" t="s">
        <v>38</v>
      </c>
      <c r="M50" s="16">
        <f>O46+M41-G46</f>
        <v>-12.176618365901582</v>
      </c>
      <c r="N50" s="29"/>
      <c r="R50" s="3" t="s">
        <v>27</v>
      </c>
      <c r="S50" s="25">
        <f>S46*$AF$6*U45</f>
        <v>246.08901679141701</v>
      </c>
      <c r="T50" s="4" t="s">
        <v>38</v>
      </c>
      <c r="U50" s="16">
        <f>W46+U41-O46</f>
        <v>0</v>
      </c>
      <c r="V50" s="29"/>
      <c r="Z50" s="3" t="s">
        <v>27</v>
      </c>
      <c r="AA50" s="25">
        <f>AA46*$AF$6*AC45</f>
        <v>246.87929876437505</v>
      </c>
      <c r="AB50" s="4" t="s">
        <v>38</v>
      </c>
      <c r="AC50" s="16">
        <f>AE46+AC41-W46</f>
        <v>12.176618365901589</v>
      </c>
      <c r="AD50" s="29"/>
      <c r="AH50" s="3" t="s">
        <v>27</v>
      </c>
      <c r="AI50" s="25">
        <f>AI46*$AF$5*AK45</f>
        <v>134.02484952834499</v>
      </c>
      <c r="AJ50" s="4" t="s">
        <v>38</v>
      </c>
      <c r="AK50" s="16">
        <f>AE46+AK41</f>
        <v>110.66567550792408</v>
      </c>
    </row>
    <row r="51" spans="2:37" x14ac:dyDescent="0.4">
      <c r="C51" s="1"/>
      <c r="D51">
        <f>固定モーメント法!D51</f>
        <v>0.99</v>
      </c>
      <c r="K51" s="1"/>
      <c r="L51">
        <f>固定モーメント法!L51</f>
        <v>0.99</v>
      </c>
      <c r="S51" s="1"/>
      <c r="T51">
        <f>固定モーメント法!T51</f>
        <v>0.99</v>
      </c>
      <c r="AA51" s="1"/>
      <c r="AB51">
        <f>固定モーメント法!AB51</f>
        <v>0.99</v>
      </c>
      <c r="AI51" s="1"/>
      <c r="AJ51">
        <f>固定モーメント法!AJ51</f>
        <v>0.99</v>
      </c>
    </row>
    <row r="52" spans="2:37" ht="19.5" thickBot="1" x14ac:dyDescent="0.45">
      <c r="C52" s="1"/>
      <c r="D52" s="8"/>
      <c r="E52" s="2"/>
      <c r="F52" s="2" t="s">
        <v>28</v>
      </c>
      <c r="G52" s="21">
        <v>1</v>
      </c>
      <c r="H52" s="18">
        <f>(K54+K50)/(G52+O52)*G52</f>
        <v>242.9258702686339</v>
      </c>
      <c r="I52" s="2"/>
      <c r="J52" s="2"/>
      <c r="K52" s="9"/>
      <c r="L52" s="8"/>
      <c r="M52" s="2"/>
      <c r="N52" s="2" t="s">
        <v>28</v>
      </c>
      <c r="O52" s="21">
        <v>0.99</v>
      </c>
      <c r="P52" s="18">
        <f>(S54+S50)/(O52+W52)*O52</f>
        <v>241.22793315623846</v>
      </c>
      <c r="Q52" s="2"/>
      <c r="R52" s="2"/>
      <c r="S52" s="9"/>
      <c r="T52" s="8"/>
      <c r="U52" s="2"/>
      <c r="V52" s="2" t="s">
        <v>28</v>
      </c>
      <c r="W52" s="21">
        <v>0.99</v>
      </c>
      <c r="X52" s="18">
        <f>(AA54+AA50)/(W52+AE52)*W52</f>
        <v>240.49661156594755</v>
      </c>
      <c r="Y52" s="2"/>
      <c r="Z52" s="2"/>
      <c r="AA52" s="9"/>
      <c r="AB52" s="8"/>
      <c r="AC52" s="2"/>
      <c r="AD52" s="2" t="s">
        <v>28</v>
      </c>
      <c r="AE52" s="21">
        <v>1</v>
      </c>
      <c r="AF52" s="18">
        <f>(AI54+AI50)/(AE52+AM52)*AE52</f>
        <v>302.86824169760848</v>
      </c>
      <c r="AG52" s="2"/>
      <c r="AH52" s="2"/>
      <c r="AI52" s="9"/>
      <c r="AK52" s="20"/>
    </row>
    <row r="53" spans="2:37" x14ac:dyDescent="0.4">
      <c r="B53" s="3"/>
      <c r="C53" s="5"/>
      <c r="D53" s="6"/>
      <c r="E53" s="7"/>
      <c r="F53" s="18">
        <f>C54+C50</f>
        <v>271.21010566587154</v>
      </c>
      <c r="H53" s="26" t="s">
        <v>29</v>
      </c>
      <c r="J53" s="3"/>
      <c r="K53" s="5"/>
      <c r="L53" s="6"/>
      <c r="M53" s="7"/>
      <c r="N53" s="18">
        <f>(K54+K50)/(G52+O52)*O52</f>
        <v>240.49661156594755</v>
      </c>
      <c r="P53" s="26" t="s">
        <v>29</v>
      </c>
      <c r="R53" s="3"/>
      <c r="S53" s="10"/>
      <c r="T53" s="6"/>
      <c r="U53" s="7"/>
      <c r="V53" s="18">
        <f>(S54+S50)/(O52+W52)*W52</f>
        <v>241.22793315623846</v>
      </c>
      <c r="X53" s="26" t="s">
        <v>29</v>
      </c>
      <c r="Z53" s="3"/>
      <c r="AA53" s="10"/>
      <c r="AB53" s="6"/>
      <c r="AC53" s="7"/>
      <c r="AD53" s="18">
        <f>(AA54+AA50)/(W52+AE52)*AE52</f>
        <v>242.9258702686339</v>
      </c>
      <c r="AF53" s="26" t="s">
        <v>29</v>
      </c>
      <c r="AH53" s="3"/>
      <c r="AI53" s="10"/>
      <c r="AJ53" s="4"/>
      <c r="AK53" s="7"/>
    </row>
    <row r="54" spans="2:37" x14ac:dyDescent="0.4">
      <c r="B54" s="3" t="s">
        <v>26</v>
      </c>
      <c r="C54" s="25">
        <f>C55*$AF$6*(1-E54)</f>
        <v>137.18525613752658</v>
      </c>
      <c r="D54" s="4" t="s">
        <v>25</v>
      </c>
      <c r="E54" s="15">
        <f>SUM(E55:E58)</f>
        <v>0.67500000000000004</v>
      </c>
      <c r="G54" t="s">
        <v>18</v>
      </c>
      <c r="H54" s="18"/>
      <c r="J54" s="3" t="s">
        <v>26</v>
      </c>
      <c r="K54" s="25">
        <f>K55*$AF$6*(1-M54)</f>
        <v>236.5431830702064</v>
      </c>
      <c r="L54" s="4" t="s">
        <v>25</v>
      </c>
      <c r="M54" s="15">
        <f>SUM(M55:M58)</f>
        <v>0.60000000000000009</v>
      </c>
      <c r="N54" s="30"/>
      <c r="O54" t="s">
        <v>18</v>
      </c>
      <c r="P54" s="18"/>
      <c r="R54" s="3" t="s">
        <v>26</v>
      </c>
      <c r="S54" s="25">
        <f>S55*$AF$6*(1-U54)</f>
        <v>236.36684952105989</v>
      </c>
      <c r="T54" s="4" t="s">
        <v>25</v>
      </c>
      <c r="U54" s="15">
        <f>SUM(U55:U58)</f>
        <v>0.60000000000000009</v>
      </c>
      <c r="V54" s="30"/>
      <c r="W54" t="s">
        <v>18</v>
      </c>
      <c r="X54" s="18"/>
      <c r="Z54" s="3" t="s">
        <v>26</v>
      </c>
      <c r="AA54" s="25">
        <f>AA55*$AF$6*(1-AC54)</f>
        <v>236.5431830702064</v>
      </c>
      <c r="AB54" s="4" t="s">
        <v>25</v>
      </c>
      <c r="AC54" s="15">
        <f>SUM(AC55:AC58)</f>
        <v>0.60000000000000009</v>
      </c>
      <c r="AD54" s="30"/>
      <c r="AE54" t="s">
        <v>18</v>
      </c>
      <c r="AF54" s="18"/>
      <c r="AH54" s="3" t="s">
        <v>26</v>
      </c>
      <c r="AI54" s="25">
        <f>AI55*$AF$6*(1-AK54)</f>
        <v>168.84339216926347</v>
      </c>
      <c r="AJ54" s="4" t="s">
        <v>25</v>
      </c>
      <c r="AK54" s="15">
        <f>SUM(AK55:AK58)</f>
        <v>0.60000000000000009</v>
      </c>
    </row>
    <row r="55" spans="2:37" x14ac:dyDescent="0.4">
      <c r="B55" s="3" t="s">
        <v>18</v>
      </c>
      <c r="C55" s="13">
        <f>$AE$6/($C58+$K58+$S58+$AA58+$AI58)/2*C58</f>
        <v>102.95328790808752</v>
      </c>
      <c r="D55" s="4" t="s">
        <v>21</v>
      </c>
      <c r="E55" s="23">
        <v>0.625</v>
      </c>
      <c r="G55" s="34">
        <f>(F53+H52)/G63</f>
        <v>91.158860981295305</v>
      </c>
      <c r="J55" s="3" t="s">
        <v>18</v>
      </c>
      <c r="K55" s="13">
        <f>$AE$6/($C58+$K58+$S58+$AA58+$AI58)/2*K58</f>
        <v>144.23364821354053</v>
      </c>
      <c r="L55" s="4" t="s">
        <v>21</v>
      </c>
      <c r="M55" s="23">
        <v>0.55000000000000004</v>
      </c>
      <c r="N55" s="28"/>
      <c r="O55" s="34">
        <f>(N53+P52)/O63</f>
        <v>84.513078021436144</v>
      </c>
      <c r="R55" s="3" t="s">
        <v>18</v>
      </c>
      <c r="S55" s="13">
        <f>$AE$6/($C58+$K58+$S58+$AA58+$AI58)/2*S58</f>
        <v>144.12612775674387</v>
      </c>
      <c r="T55" s="4" t="s">
        <v>21</v>
      </c>
      <c r="U55" s="23">
        <v>0.55000000000000004</v>
      </c>
      <c r="V55" s="28"/>
      <c r="W55" s="34">
        <f>(V53+X52)/W63</f>
        <v>84.513078021436144</v>
      </c>
      <c r="Z55" s="3" t="s">
        <v>18</v>
      </c>
      <c r="AA55" s="13">
        <f>$AE$6/($C58+$K58+$S58+$AA58+$AI58)/2*AA58</f>
        <v>144.23364821354053</v>
      </c>
      <c r="AB55" s="4" t="s">
        <v>21</v>
      </c>
      <c r="AC55" s="23">
        <v>0.55000000000000004</v>
      </c>
      <c r="AD55" s="28"/>
      <c r="AE55" s="34">
        <f>(AD53+AF52)/AE63</f>
        <v>96.77200566777347</v>
      </c>
      <c r="AH55" s="3" t="s">
        <v>18</v>
      </c>
      <c r="AI55" s="13">
        <f>$AE$6/($C58+$K58+$S58+$AA58+$AI58)/2*AI58</f>
        <v>102.95328790808752</v>
      </c>
      <c r="AJ55" s="4" t="s">
        <v>21</v>
      </c>
      <c r="AK55" s="23">
        <v>0.55000000000000004</v>
      </c>
    </row>
    <row r="56" spans="2:37" x14ac:dyDescent="0.4">
      <c r="B56" s="3" t="s">
        <v>14</v>
      </c>
      <c r="C56" s="11">
        <f>(G52+G61)/2/D60</f>
        <v>1.4875368533905118</v>
      </c>
      <c r="D56" s="4" t="s">
        <v>22</v>
      </c>
      <c r="E56" s="47">
        <v>0.05</v>
      </c>
      <c r="J56" s="3" t="s">
        <v>14</v>
      </c>
      <c r="K56" s="11">
        <f>(O52+G52+G61+O61)/2/L60</f>
        <v>2.9695792012865181</v>
      </c>
      <c r="L56" s="4" t="s">
        <v>22</v>
      </c>
      <c r="M56" s="47">
        <v>0.05</v>
      </c>
      <c r="N56" s="29"/>
      <c r="R56" s="3" t="s">
        <v>14</v>
      </c>
      <c r="S56" s="11">
        <f>(W52+O52+O61+W61)/2/T60</f>
        <v>2.9640846957920126</v>
      </c>
      <c r="T56" s="4" t="s">
        <v>22</v>
      </c>
      <c r="U56" s="47">
        <v>0.05</v>
      </c>
      <c r="V56" s="29"/>
      <c r="Z56" s="3" t="s">
        <v>14</v>
      </c>
      <c r="AA56" s="11">
        <f>(AE52+W52+W61+AE61)/2/AB60</f>
        <v>2.9695792012865181</v>
      </c>
      <c r="AB56" s="4" t="s">
        <v>22</v>
      </c>
      <c r="AC56" s="47">
        <v>0.05</v>
      </c>
      <c r="AD56" s="29"/>
      <c r="AH56" s="3" t="s">
        <v>13</v>
      </c>
      <c r="AI56" s="11">
        <f>(AE52+AE61)/2/AJ60</f>
        <v>1.4875368533905118</v>
      </c>
      <c r="AJ56" s="4" t="s">
        <v>22</v>
      </c>
      <c r="AK56" s="24">
        <v>0.05</v>
      </c>
    </row>
    <row r="57" spans="2:37" x14ac:dyDescent="0.4">
      <c r="B57" s="3" t="s">
        <v>16</v>
      </c>
      <c r="C57" s="11">
        <f>C56/(2+C56)</f>
        <v>0.42652935751613896</v>
      </c>
      <c r="D57" s="4" t="s">
        <v>23</v>
      </c>
      <c r="E57" s="24">
        <v>0</v>
      </c>
      <c r="J57" s="3" t="s">
        <v>16</v>
      </c>
      <c r="K57" s="11">
        <f>K56/(2+K56)</f>
        <v>0.59755143866461724</v>
      </c>
      <c r="L57" s="4" t="s">
        <v>23</v>
      </c>
      <c r="M57" s="24">
        <v>0</v>
      </c>
      <c r="N57" s="29"/>
      <c r="R57" s="3" t="s">
        <v>16</v>
      </c>
      <c r="S57" s="11">
        <f>S56/(2+S56)</f>
        <v>0.59710598779763513</v>
      </c>
      <c r="T57" s="4" t="s">
        <v>23</v>
      </c>
      <c r="U57" s="24">
        <v>0</v>
      </c>
      <c r="V57" s="29"/>
      <c r="Z57" s="3" t="s">
        <v>16</v>
      </c>
      <c r="AA57" s="11">
        <f>AA56/(2+AA56)</f>
        <v>0.59755143866461724</v>
      </c>
      <c r="AB57" s="4" t="s">
        <v>23</v>
      </c>
      <c r="AC57" s="24">
        <v>0</v>
      </c>
      <c r="AD57" s="29"/>
      <c r="AH57" s="3" t="s">
        <v>16</v>
      </c>
      <c r="AI57" s="11">
        <f>AI56/(2+AI56)</f>
        <v>0.42652935751613896</v>
      </c>
      <c r="AJ57" s="4" t="s">
        <v>23</v>
      </c>
      <c r="AK57" s="24">
        <v>0</v>
      </c>
    </row>
    <row r="58" spans="2:37" x14ac:dyDescent="0.4">
      <c r="B58" s="3" t="s">
        <v>17</v>
      </c>
      <c r="C58" s="11">
        <f>C57*D60</f>
        <v>0.38814171533968644</v>
      </c>
      <c r="D58" s="4" t="s">
        <v>24</v>
      </c>
      <c r="E58" s="24">
        <v>0</v>
      </c>
      <c r="J58" s="3" t="s">
        <v>17</v>
      </c>
      <c r="K58" s="11">
        <f>K57*L60</f>
        <v>0.54377180918480172</v>
      </c>
      <c r="L58" s="4" t="s">
        <v>24</v>
      </c>
      <c r="M58" s="24">
        <v>0</v>
      </c>
      <c r="N58" s="29"/>
      <c r="R58" s="3" t="s">
        <v>17</v>
      </c>
      <c r="S58" s="11">
        <f>S57*T60</f>
        <v>0.54336644889584795</v>
      </c>
      <c r="T58" s="4" t="s">
        <v>24</v>
      </c>
      <c r="U58" s="24">
        <v>0</v>
      </c>
      <c r="V58" s="29"/>
      <c r="Z58" s="3" t="s">
        <v>17</v>
      </c>
      <c r="AA58" s="11">
        <f>AA57*AB60</f>
        <v>0.54377180918480172</v>
      </c>
      <c r="AB58" s="4" t="s">
        <v>24</v>
      </c>
      <c r="AC58" s="24">
        <v>0</v>
      </c>
      <c r="AD58" s="29"/>
      <c r="AH58" s="3" t="s">
        <v>17</v>
      </c>
      <c r="AI58" s="11">
        <f>AI57*AJ60</f>
        <v>0.38814171533968644</v>
      </c>
      <c r="AJ58" s="4" t="s">
        <v>24</v>
      </c>
      <c r="AK58" s="24">
        <v>0</v>
      </c>
    </row>
    <row r="59" spans="2:37" x14ac:dyDescent="0.4">
      <c r="B59" s="3" t="s">
        <v>27</v>
      </c>
      <c r="C59" s="25">
        <f>C55*$AF$6*E54</f>
        <v>284.92322428563216</v>
      </c>
      <c r="D59" s="4" t="s">
        <v>38</v>
      </c>
      <c r="E59" s="16">
        <f>G55+E50</f>
        <v>201.82453648921938</v>
      </c>
      <c r="J59" s="3" t="s">
        <v>27</v>
      </c>
      <c r="K59" s="25">
        <f>K55*$AF$6*M54</f>
        <v>354.81477460530971</v>
      </c>
      <c r="L59" s="4" t="s">
        <v>38</v>
      </c>
      <c r="M59" s="16">
        <f>O55+M50-G55</f>
        <v>-18.822401325760751</v>
      </c>
      <c r="N59" s="29"/>
      <c r="R59" s="3" t="s">
        <v>27</v>
      </c>
      <c r="S59" s="25">
        <f>S55*$AF$6*U54</f>
        <v>354.55027428158996</v>
      </c>
      <c r="T59" s="4" t="s">
        <v>38</v>
      </c>
      <c r="U59" s="16">
        <f>W55+U50-O55</f>
        <v>0</v>
      </c>
      <c r="V59" s="29"/>
      <c r="Z59" s="3" t="s">
        <v>27</v>
      </c>
      <c r="AA59" s="25">
        <f>AA55*$AF$6*AC54</f>
        <v>354.81477460530971</v>
      </c>
      <c r="AB59" s="4" t="s">
        <v>38</v>
      </c>
      <c r="AC59" s="16">
        <f>AE55+AC50-W55</f>
        <v>24.435546012238916</v>
      </c>
      <c r="AD59" s="29"/>
      <c r="AH59" s="3" t="s">
        <v>27</v>
      </c>
      <c r="AI59" s="25">
        <f>AI55*$AF$6*AK54</f>
        <v>253.2650882538953</v>
      </c>
      <c r="AJ59" s="4" t="s">
        <v>38</v>
      </c>
      <c r="AK59" s="16">
        <f>AE55+AK50</f>
        <v>207.43768117569755</v>
      </c>
    </row>
    <row r="60" spans="2:37" x14ac:dyDescent="0.4">
      <c r="C60" s="1"/>
      <c r="D60">
        <f>固定モーメント法!D60</f>
        <v>0.91</v>
      </c>
      <c r="K60" s="1"/>
      <c r="L60">
        <f>固定モーメント法!L60</f>
        <v>0.91</v>
      </c>
      <c r="S60" s="1"/>
      <c r="T60">
        <f>固定モーメント法!T60</f>
        <v>0.91</v>
      </c>
      <c r="AA60" s="1"/>
      <c r="AB60">
        <f>固定モーメント法!AB60</f>
        <v>0.91</v>
      </c>
      <c r="AI60" s="1"/>
      <c r="AJ60">
        <f>固定モーメント法!AJ60</f>
        <v>0.91</v>
      </c>
    </row>
    <row r="61" spans="2:37" x14ac:dyDescent="0.4">
      <c r="C61" s="1"/>
      <c r="G61" s="40">
        <f>基礎梁成と変形関係!E6/10^5</f>
        <v>1.7073170731707317</v>
      </c>
      <c r="K61" s="1"/>
      <c r="O61" s="40">
        <f>基礎梁成と変形関係!E6/10^5</f>
        <v>1.7073170731707317</v>
      </c>
      <c r="P61" s="40"/>
      <c r="Q61" s="40"/>
      <c r="R61" s="40"/>
      <c r="S61" s="46"/>
      <c r="T61" s="40"/>
      <c r="U61" s="40"/>
      <c r="V61" s="40"/>
      <c r="W61" s="40">
        <f>基礎梁成と変形関係!E6/10^5</f>
        <v>1.7073170731707317</v>
      </c>
      <c r="X61" s="40"/>
      <c r="Y61" s="40"/>
      <c r="Z61" s="40"/>
      <c r="AA61" s="46"/>
      <c r="AB61" s="40"/>
      <c r="AC61" s="40"/>
      <c r="AD61" s="40"/>
      <c r="AE61" s="40">
        <f>基礎梁成と変形関係!E6/10^5</f>
        <v>1.7073170731707317</v>
      </c>
      <c r="AF61" s="40"/>
      <c r="AI61" s="1"/>
    </row>
    <row r="62" spans="2:37" x14ac:dyDescent="0.4">
      <c r="D62" s="18"/>
      <c r="L62" s="18"/>
      <c r="T62" s="18"/>
      <c r="AB62" s="18"/>
      <c r="AJ62" s="18"/>
    </row>
    <row r="63" spans="2:37" x14ac:dyDescent="0.4">
      <c r="F63" t="s">
        <v>37</v>
      </c>
      <c r="G63">
        <v>5.64</v>
      </c>
      <c r="N63" t="s">
        <v>37</v>
      </c>
      <c r="O63">
        <v>5.7</v>
      </c>
      <c r="V63" t="s">
        <v>37</v>
      </c>
      <c r="W63">
        <v>5.7</v>
      </c>
      <c r="AD63" t="s">
        <v>37</v>
      </c>
      <c r="AE63">
        <v>5.64</v>
      </c>
    </row>
  </sheetData>
  <mergeCells count="2">
    <mergeCell ref="AG2:AM2"/>
    <mergeCell ref="AG9:AM9"/>
  </mergeCells>
  <phoneticPr fontId="1"/>
  <pageMargins left="0.7" right="0.7" top="0.75" bottom="0.75" header="0.3" footer="0.3"/>
  <pageSetup paperSize="9" scale="26" orientation="landscape" r:id="rId1"/>
  <colBreaks count="1" manualBreakCount="1">
    <brk id="47" max="81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7CDA7A-0C19-476D-AD1D-8D1C8464805D}">
  <sheetPr>
    <pageSetUpPr fitToPage="1"/>
  </sheetPr>
  <dimension ref="B1:AM63"/>
  <sheetViews>
    <sheetView tabSelected="1" view="pageBreakPreview" topLeftCell="H13" zoomScaleNormal="70" zoomScaleSheetLayoutView="100" workbookViewId="0">
      <selection activeCell="H13" sqref="H13"/>
    </sheetView>
  </sheetViews>
  <sheetFormatPr defaultRowHeight="18.75" x14ac:dyDescent="0.4"/>
  <cols>
    <col min="7" max="7" width="11.25" customWidth="1"/>
    <col min="37" max="37" width="9.75" bestFit="1" customWidth="1"/>
    <col min="38" max="38" width="11" bestFit="1" customWidth="1"/>
    <col min="39" max="39" width="14.625" bestFit="1" customWidth="1"/>
    <col min="40" max="40" width="12.25" bestFit="1" customWidth="1"/>
    <col min="41" max="41" width="13.375" bestFit="1" customWidth="1"/>
  </cols>
  <sheetData>
    <row r="1" spans="2:39" x14ac:dyDescent="0.4">
      <c r="E1" t="s">
        <v>19</v>
      </c>
      <c r="S1" t="s">
        <v>20</v>
      </c>
      <c r="AI1" t="s">
        <v>134</v>
      </c>
    </row>
    <row r="2" spans="2:39" x14ac:dyDescent="0.4">
      <c r="B2" t="s">
        <v>15</v>
      </c>
      <c r="AG2" s="57" t="s">
        <v>33</v>
      </c>
      <c r="AH2" s="57"/>
      <c r="AI2" s="57"/>
      <c r="AJ2" s="57"/>
      <c r="AK2" s="57"/>
      <c r="AL2" s="57"/>
      <c r="AM2" s="57"/>
    </row>
    <row r="3" spans="2:39" ht="19.5" thickBot="1" x14ac:dyDescent="0.45">
      <c r="D3" s="2"/>
      <c r="E3" s="2"/>
      <c r="F3" s="2" t="s">
        <v>28</v>
      </c>
      <c r="G3" s="2">
        <f>固定モーメント法!G3</f>
        <v>3.19</v>
      </c>
      <c r="H3" s="18">
        <f>K5+K1</f>
        <v>138.82747428736425</v>
      </c>
      <c r="I3" s="2"/>
      <c r="J3" s="2"/>
      <c r="K3" s="2"/>
      <c r="R3" s="2"/>
      <c r="S3" s="2"/>
      <c r="T3" s="2" t="s">
        <v>28</v>
      </c>
      <c r="U3" s="19">
        <f>固定モーメント法!U3</f>
        <v>2.5499999999999998</v>
      </c>
      <c r="V3" s="18">
        <f>Y5+Y1</f>
        <v>126.51628856895368</v>
      </c>
      <c r="W3" s="2"/>
      <c r="X3" s="2"/>
      <c r="Y3" s="2"/>
      <c r="AD3" s="3"/>
      <c r="AE3" s="3" t="s">
        <v>133</v>
      </c>
      <c r="AF3" s="3" t="s">
        <v>35</v>
      </c>
      <c r="AG3" s="3" t="s">
        <v>30</v>
      </c>
      <c r="AH3" s="3" t="s">
        <v>31</v>
      </c>
      <c r="AI3" s="3" t="s">
        <v>136</v>
      </c>
      <c r="AJ3" s="3" t="s">
        <v>135</v>
      </c>
      <c r="AK3" s="3" t="s">
        <v>137</v>
      </c>
      <c r="AL3" s="3" t="s">
        <v>138</v>
      </c>
      <c r="AM3" s="3" t="s">
        <v>139</v>
      </c>
    </row>
    <row r="4" spans="2:39" x14ac:dyDescent="0.4">
      <c r="B4" s="3"/>
      <c r="C4" s="5"/>
      <c r="D4" s="6"/>
      <c r="E4" s="7"/>
      <c r="F4" s="18">
        <f>C5+C1</f>
        <v>138.82747428736425</v>
      </c>
      <c r="H4" s="26" t="s">
        <v>29</v>
      </c>
      <c r="J4" s="3"/>
      <c r="K4" s="10"/>
      <c r="L4" s="4"/>
      <c r="M4" s="3"/>
      <c r="P4" s="3"/>
      <c r="Q4" s="5"/>
      <c r="R4" s="6"/>
      <c r="S4" s="7"/>
      <c r="T4" s="18">
        <f>Q5+Q1</f>
        <v>126.51628856895368</v>
      </c>
      <c r="V4" s="26" t="s">
        <v>29</v>
      </c>
      <c r="X4" s="3"/>
      <c r="Y4" s="10"/>
      <c r="Z4" s="4"/>
      <c r="AA4" s="3"/>
      <c r="AD4" s="3">
        <v>3</v>
      </c>
      <c r="AE4" s="23">
        <v>658</v>
      </c>
      <c r="AF4" s="23">
        <v>3.7</v>
      </c>
      <c r="AG4" s="32">
        <f>AE4*1000/((C9+K9)*3+(Q9+Y9)*2)*(AF4*1000)^2/12/205000/10^5</f>
        <v>6.1391043649915567</v>
      </c>
      <c r="AH4" s="16">
        <f>1/(AG4/AF4/1000)</f>
        <v>602.69377746685188</v>
      </c>
      <c r="AI4" s="15">
        <f>AE4*1000*(AF4*1000)^2/12/205000/(AF4*1000/200)/10^5</f>
        <v>1.9793495934959349</v>
      </c>
      <c r="AJ4" s="48">
        <f>AI4/((C9+K9)*3+(Q9+Y9)*2)*MAX(C9,K9,Q9,Y9)</f>
        <v>0.20521430049869063</v>
      </c>
      <c r="AK4" s="48">
        <f>(G3+G12)/((G3+G12)/AJ4-2)</f>
        <v>0.21932349069489235</v>
      </c>
      <c r="AL4" s="16">
        <f>AK4*10^5*AF4*1000</f>
        <v>81149691.557110175</v>
      </c>
      <c r="AM4" s="3" t="s">
        <v>140</v>
      </c>
    </row>
    <row r="5" spans="2:39" x14ac:dyDescent="0.4">
      <c r="B5" s="3" t="s">
        <v>26</v>
      </c>
      <c r="C5" s="25">
        <f>C6*$AF$4*(1-E5)</f>
        <v>138.82747428736425</v>
      </c>
      <c r="D5" s="4" t="s">
        <v>25</v>
      </c>
      <c r="E5" s="15">
        <f>SUM(E6:E9)</f>
        <v>0.45</v>
      </c>
      <c r="G5" t="s">
        <v>36</v>
      </c>
      <c r="H5" s="18"/>
      <c r="J5" s="3" t="s">
        <v>26</v>
      </c>
      <c r="K5" s="25">
        <f>K6*$AF$4*(1-M5)</f>
        <v>138.82747428736425</v>
      </c>
      <c r="L5" s="4" t="s">
        <v>25</v>
      </c>
      <c r="M5" s="15">
        <f>SUM(M6:M9)</f>
        <v>0.45</v>
      </c>
      <c r="P5" s="3" t="s">
        <v>26</v>
      </c>
      <c r="Q5" s="25">
        <f>Q6*$AF$4*(1-S5)</f>
        <v>126.51628856895368</v>
      </c>
      <c r="R5" s="4" t="s">
        <v>25</v>
      </c>
      <c r="S5" s="15">
        <f>SUM(S6:S9)</f>
        <v>0.45</v>
      </c>
      <c r="U5" t="s">
        <v>36</v>
      </c>
      <c r="V5" s="18"/>
      <c r="X5" s="3" t="s">
        <v>26</v>
      </c>
      <c r="Y5" s="25">
        <f>Y6*$AF$4*(1-AA5)</f>
        <v>126.51628856895368</v>
      </c>
      <c r="Z5" s="4" t="s">
        <v>25</v>
      </c>
      <c r="AA5" s="15">
        <f>SUM(AA6:AA9)</f>
        <v>0.45</v>
      </c>
      <c r="AD5" s="3">
        <v>2</v>
      </c>
      <c r="AE5" s="23">
        <v>1036</v>
      </c>
      <c r="AF5" s="23">
        <v>3.75</v>
      </c>
      <c r="AG5" s="32">
        <f>AE5*1000/((C18+K18)*3+(Q18+Y18)*2)*(AF5*1000)^2/12/205000/10^5</f>
        <v>10.047522014385882</v>
      </c>
      <c r="AH5" s="16">
        <f>1/(AG5/AF5/1000)</f>
        <v>373.22635318746353</v>
      </c>
      <c r="AI5" s="15">
        <f>AE5*1000*(AF5*1000)^2/12/205000/(AF5*1000/200)/10^5</f>
        <v>3.1585365853658538</v>
      </c>
      <c r="AJ5" s="48">
        <f>AI5/((C18+K18)*3+(Q18+Y18)*2)*MAX(C18,K18,Q18,Y18)</f>
        <v>0.32733544060484387</v>
      </c>
      <c r="AK5" s="48">
        <f>(G12+G21)/((G12+G21)/AJ5-2)</f>
        <v>0.36476507598573754</v>
      </c>
      <c r="AL5" s="16">
        <f>AK5*10^5*AF5*1000</f>
        <v>136786903.49465159</v>
      </c>
      <c r="AM5" s="3" t="s">
        <v>141</v>
      </c>
    </row>
    <row r="6" spans="2:39" x14ac:dyDescent="0.4">
      <c r="B6" s="3" t="s">
        <v>18</v>
      </c>
      <c r="C6" s="13">
        <f>$AE$4/(($C9+$K9)*3+($Q9+$Y9)*2)*C9</f>
        <v>68.219889084699872</v>
      </c>
      <c r="D6" s="4" t="s">
        <v>21</v>
      </c>
      <c r="E6" s="23">
        <v>0.45</v>
      </c>
      <c r="G6" s="34">
        <f>(F4+H3)/G31</f>
        <v>20.597548113852262</v>
      </c>
      <c r="J6" s="3" t="s">
        <v>18</v>
      </c>
      <c r="K6" s="13">
        <f>$AE$4/(($C9+$K9)*3+($Q9+$Y9)*2)*K9</f>
        <v>68.219889084699872</v>
      </c>
      <c r="L6" s="4" t="s">
        <v>21</v>
      </c>
      <c r="M6" s="23">
        <v>0.45</v>
      </c>
      <c r="P6" s="3" t="s">
        <v>18</v>
      </c>
      <c r="Q6" s="13">
        <f>$AE$4/(($C9+$K9)*3+($Q9+$Y9)*2)*Q9</f>
        <v>62.170166372950206</v>
      </c>
      <c r="R6" s="4" t="s">
        <v>21</v>
      </c>
      <c r="S6" s="23">
        <v>0.45</v>
      </c>
      <c r="U6" s="34">
        <f>(T4+V3)/U31</f>
        <v>18.770962695690457</v>
      </c>
      <c r="X6" s="3" t="s">
        <v>18</v>
      </c>
      <c r="Y6" s="13">
        <f>$AE$4/(($C9+$K9)*3+($Q9+$Y9)*2)*Y9</f>
        <v>62.170166372950206</v>
      </c>
      <c r="Z6" s="4" t="s">
        <v>21</v>
      </c>
      <c r="AA6" s="23">
        <v>0.45</v>
      </c>
      <c r="AD6" s="3">
        <v>1</v>
      </c>
      <c r="AE6" s="23">
        <v>1277</v>
      </c>
      <c r="AF6" s="23">
        <v>4.0999999999999996</v>
      </c>
      <c r="AG6" s="32">
        <f>AE6*1000/((C27+K27)*3+(Q27+Y27)*2)*(AF6*1000)^2/12/205000/10^5</f>
        <v>17.129203905749574</v>
      </c>
      <c r="AH6" s="16">
        <f>1/(AG6/AF6/1000)</f>
        <v>239.35730011502739</v>
      </c>
      <c r="AI6" s="15">
        <f>AE6*1000*(AF6*1000)^2/12/205000/(AF6*1000/200)/10^5</f>
        <v>4.2566666666666677</v>
      </c>
      <c r="AJ6" s="48">
        <f>AI6/((C27+K27)*3+(Q27+Y27)*2)*MAX(C27,K27,Q27,Y27)</f>
        <v>0.43617575574139172</v>
      </c>
      <c r="AK6" s="48">
        <f>(G21+G30)/((G21+G30)/AJ6-2)</f>
        <v>0.53071037323351722</v>
      </c>
      <c r="AL6" s="16">
        <f>AK6*10^5*AF6*1000</f>
        <v>217591253.02574205</v>
      </c>
      <c r="AM6" s="3" t="s">
        <v>142</v>
      </c>
    </row>
    <row r="7" spans="2:39" x14ac:dyDescent="0.4">
      <c r="B7" s="3" t="s">
        <v>14</v>
      </c>
      <c r="C7" s="11">
        <f>(G3+G12)/D11/2</f>
        <v>3.1584158415841586</v>
      </c>
      <c r="D7" s="4" t="s">
        <v>22</v>
      </c>
      <c r="E7" s="24">
        <v>0</v>
      </c>
      <c r="J7" s="3" t="s">
        <v>14</v>
      </c>
      <c r="K7" s="11">
        <f>(G3+G12)/L11/2</f>
        <v>3.1584158415841586</v>
      </c>
      <c r="L7" s="4" t="s">
        <v>22</v>
      </c>
      <c r="M7" s="24">
        <v>0</v>
      </c>
      <c r="P7" s="3" t="s">
        <v>14</v>
      </c>
      <c r="Q7" s="11">
        <f>(U3+U12)/R11/2</f>
        <v>2.5247524752475248</v>
      </c>
      <c r="R7" s="4" t="s">
        <v>22</v>
      </c>
      <c r="S7" s="24">
        <v>0</v>
      </c>
      <c r="X7" s="3" t="s">
        <v>14</v>
      </c>
      <c r="Y7" s="11">
        <f>(U3+U12)/Z11/2</f>
        <v>2.5247524752475248</v>
      </c>
      <c r="Z7" s="4" t="s">
        <v>22</v>
      </c>
      <c r="AA7" s="24">
        <v>0</v>
      </c>
    </row>
    <row r="8" spans="2:39" x14ac:dyDescent="0.4">
      <c r="B8" s="3" t="s">
        <v>16</v>
      </c>
      <c r="C8" s="11">
        <f>C7/(2+C7)</f>
        <v>0.61228406909788868</v>
      </c>
      <c r="D8" s="4" t="s">
        <v>23</v>
      </c>
      <c r="E8" s="24">
        <v>0</v>
      </c>
      <c r="J8" s="3" t="s">
        <v>16</v>
      </c>
      <c r="K8" s="11">
        <f>K7/(2+K7)</f>
        <v>0.61228406909788868</v>
      </c>
      <c r="L8" s="4" t="s">
        <v>23</v>
      </c>
      <c r="M8" s="24">
        <v>0</v>
      </c>
      <c r="P8" s="3" t="s">
        <v>16</v>
      </c>
      <c r="Q8" s="11">
        <f>Q7/(2+Q7)</f>
        <v>0.55798687089715537</v>
      </c>
      <c r="R8" s="4" t="s">
        <v>23</v>
      </c>
      <c r="S8" s="24">
        <v>0</v>
      </c>
      <c r="X8" s="3" t="s">
        <v>16</v>
      </c>
      <c r="Y8" s="11">
        <f>Y7/(2+Y7)</f>
        <v>0.55798687089715537</v>
      </c>
      <c r="Z8" s="4" t="s">
        <v>23</v>
      </c>
      <c r="AA8" s="24">
        <v>0</v>
      </c>
    </row>
    <row r="9" spans="2:39" x14ac:dyDescent="0.4">
      <c r="B9" s="3" t="s">
        <v>17</v>
      </c>
      <c r="C9" s="11">
        <f>C8*D11</f>
        <v>0.61840690978886759</v>
      </c>
      <c r="D9" s="4" t="s">
        <v>24</v>
      </c>
      <c r="E9" s="24">
        <v>0</v>
      </c>
      <c r="J9" s="3" t="s">
        <v>17</v>
      </c>
      <c r="K9" s="11">
        <f>K8*L11</f>
        <v>0.61840690978886759</v>
      </c>
      <c r="L9" s="4" t="s">
        <v>24</v>
      </c>
      <c r="M9" s="24">
        <v>0</v>
      </c>
      <c r="P9" s="3" t="s">
        <v>17</v>
      </c>
      <c r="Q9" s="11">
        <f>Q8*R11</f>
        <v>0.56356673960612691</v>
      </c>
      <c r="R9" s="4" t="s">
        <v>24</v>
      </c>
      <c r="S9" s="24">
        <v>0</v>
      </c>
      <c r="X9" s="3" t="s">
        <v>17</v>
      </c>
      <c r="Y9" s="11">
        <f>Y8*Z11</f>
        <v>0.56356673960612691</v>
      </c>
      <c r="Z9" s="4" t="s">
        <v>24</v>
      </c>
      <c r="AA9" s="24">
        <v>0</v>
      </c>
      <c r="AG9" s="60" t="s">
        <v>34</v>
      </c>
      <c r="AH9" s="61"/>
      <c r="AI9" s="61"/>
      <c r="AJ9" s="61"/>
      <c r="AK9" s="61"/>
      <c r="AL9" s="61"/>
      <c r="AM9" s="61"/>
    </row>
    <row r="10" spans="2:39" x14ac:dyDescent="0.4">
      <c r="B10" s="3" t="s">
        <v>27</v>
      </c>
      <c r="C10" s="25">
        <f>C6*$AF$4*E5</f>
        <v>113.58611532602529</v>
      </c>
      <c r="D10" s="4" t="s">
        <v>38</v>
      </c>
      <c r="E10" s="16">
        <f>G6</f>
        <v>20.597548113852262</v>
      </c>
      <c r="J10" s="3" t="s">
        <v>27</v>
      </c>
      <c r="K10" s="25">
        <f>K6*$AF$4*M5</f>
        <v>113.58611532602529</v>
      </c>
      <c r="L10" s="4" t="s">
        <v>38</v>
      </c>
      <c r="M10" s="16">
        <f>G6</f>
        <v>20.597548113852262</v>
      </c>
      <c r="P10" s="3" t="s">
        <v>27</v>
      </c>
      <c r="Q10" s="25">
        <f>Q6*$AF$4*S5</f>
        <v>103.5133270109621</v>
      </c>
      <c r="R10" s="4" t="s">
        <v>38</v>
      </c>
      <c r="S10" s="16">
        <f>U6</f>
        <v>18.770962695690457</v>
      </c>
      <c r="X10" s="3" t="s">
        <v>27</v>
      </c>
      <c r="Y10" s="25">
        <f>Y6*$AF$4*AA5</f>
        <v>103.5133270109621</v>
      </c>
      <c r="Z10" s="4" t="s">
        <v>38</v>
      </c>
      <c r="AA10" s="16">
        <f>U6</f>
        <v>18.770962695690457</v>
      </c>
      <c r="AD10" s="3"/>
      <c r="AE10" s="3" t="s">
        <v>133</v>
      </c>
      <c r="AF10" s="3" t="s">
        <v>35</v>
      </c>
      <c r="AG10" s="3" t="s">
        <v>30</v>
      </c>
      <c r="AH10" s="3" t="s">
        <v>31</v>
      </c>
      <c r="AI10" s="3" t="s">
        <v>136</v>
      </c>
      <c r="AJ10" s="3" t="s">
        <v>135</v>
      </c>
      <c r="AK10" s="3" t="s">
        <v>137</v>
      </c>
      <c r="AL10" s="3" t="s">
        <v>138</v>
      </c>
      <c r="AM10" s="3" t="s">
        <v>139</v>
      </c>
    </row>
    <row r="11" spans="2:39" x14ac:dyDescent="0.4">
      <c r="C11" s="1"/>
      <c r="D11">
        <f>固定モーメント法!D11</f>
        <v>1.01</v>
      </c>
      <c r="K11" s="1"/>
      <c r="L11">
        <f>固定モーメント法!L11</f>
        <v>1.01</v>
      </c>
      <c r="Q11" s="1"/>
      <c r="R11">
        <f>固定モーメント法!R11</f>
        <v>1.01</v>
      </c>
      <c r="Y11" s="1"/>
      <c r="Z11">
        <f>固定モーメント法!Z11</f>
        <v>1.01</v>
      </c>
      <c r="AD11" s="3">
        <v>3</v>
      </c>
      <c r="AE11" s="3">
        <f>AE4</f>
        <v>658</v>
      </c>
      <c r="AF11" s="3">
        <f t="shared" ref="AF11:AF13" si="0">AF4</f>
        <v>3.7</v>
      </c>
      <c r="AG11" s="32">
        <f>AE11*1000/(C40+K40+S40+AA40+AI40)/2*(AF11*1000)^2/12/205000/10^5</f>
        <v>8.4323921382124816</v>
      </c>
      <c r="AH11" s="16">
        <f>1/(AG11/AF4/1000)</f>
        <v>438.78414800385872</v>
      </c>
      <c r="AI11" s="15">
        <f>AE11*1000*(AF11*1000)^2/12/205000/(AF11*1000/200)/10^5</f>
        <v>1.9793495934959349</v>
      </c>
      <c r="AJ11" s="48">
        <f>AI11/((C40+K40+S40+AA40+AI40)*2)*MAX(C40,K40,S40,AA40,AI40)</f>
        <v>0.22845945890130442</v>
      </c>
      <c r="AK11" s="48">
        <f>(G34+G43+O34+O43)/((G34+G43+O34+O43)/AJ11-2)</f>
        <v>0.25808904910586644</v>
      </c>
      <c r="AL11" s="16">
        <f>AK11*10^5*AF11*1000</f>
        <v>95492948.169170588</v>
      </c>
      <c r="AM11" s="49" t="s">
        <v>144</v>
      </c>
    </row>
    <row r="12" spans="2:39" ht="19.5" thickBot="1" x14ac:dyDescent="0.45">
      <c r="C12" s="1"/>
      <c r="D12" s="8"/>
      <c r="E12" s="2"/>
      <c r="F12" s="2" t="s">
        <v>28</v>
      </c>
      <c r="G12" s="2">
        <f>固定モーメント法!G12</f>
        <v>3.19</v>
      </c>
      <c r="H12" s="18">
        <f>K14+K10</f>
        <v>314.89741129800427</v>
      </c>
      <c r="I12" s="2"/>
      <c r="J12" s="2"/>
      <c r="K12" s="9"/>
      <c r="M12" s="20"/>
      <c r="Q12" s="1"/>
      <c r="R12" s="8"/>
      <c r="S12" s="2"/>
      <c r="T12" s="2" t="s">
        <v>28</v>
      </c>
      <c r="U12" s="2">
        <f>固定モーメント法!U12</f>
        <v>2.5499999999999998</v>
      </c>
      <c r="V12" s="18">
        <f>Y14+Y10</f>
        <v>287.17138305299363</v>
      </c>
      <c r="W12" s="2"/>
      <c r="X12" s="2"/>
      <c r="Y12" s="9"/>
      <c r="AD12" s="3">
        <v>2</v>
      </c>
      <c r="AE12" s="3">
        <f t="shared" ref="AE12" si="1">AE5</f>
        <v>1036</v>
      </c>
      <c r="AF12" s="3">
        <f t="shared" si="0"/>
        <v>3.75</v>
      </c>
      <c r="AG12" s="32">
        <f>AE12*1000/(C49+K49+S49+AA49+AI49)/2*(AF12*1000)^2/12/205000/10^5</f>
        <v>13.760379568423236</v>
      </c>
      <c r="AH12" s="16">
        <f>1/(AG12/AF5/1000)</f>
        <v>272.52155228372834</v>
      </c>
      <c r="AI12" s="15">
        <f>AE12*1000*(AF12*1000)^2/12/205000/(AF12*1000/200)/10^5</f>
        <v>3.1585365853658538</v>
      </c>
      <c r="AJ12" s="48">
        <f>AI12/((C49+K49+S49+AA49+AI49)*2)*MAX(C49,K49,S49,AA49,AI49)</f>
        <v>0.36418906851722072</v>
      </c>
      <c r="AK12" s="48">
        <f>(G43+G52+O43+O52)/((G43+G52+O43+O52)/AJ12-2)</f>
        <v>0.44576908194871839</v>
      </c>
      <c r="AL12" s="16">
        <f>AK12*10^5*AF12*1000</f>
        <v>167163405.7307694</v>
      </c>
      <c r="AM12" s="50" t="s">
        <v>141</v>
      </c>
    </row>
    <row r="13" spans="2:39" x14ac:dyDescent="0.4">
      <c r="B13" s="3"/>
      <c r="C13" s="5"/>
      <c r="D13" s="6"/>
      <c r="E13" s="7"/>
      <c r="F13" s="18">
        <f>C14+C10</f>
        <v>314.89741129800427</v>
      </c>
      <c r="H13" s="26" t="s">
        <v>29</v>
      </c>
      <c r="J13" s="3"/>
      <c r="K13" s="10"/>
      <c r="L13" s="4"/>
      <c r="M13" s="7"/>
      <c r="P13" s="3"/>
      <c r="Q13" s="5"/>
      <c r="R13" s="6"/>
      <c r="S13" s="7"/>
      <c r="T13" s="18">
        <f>Q14+Q10</f>
        <v>287.17138305299363</v>
      </c>
      <c r="V13" s="26" t="s">
        <v>29</v>
      </c>
      <c r="X13" s="3"/>
      <c r="Y13" s="10"/>
      <c r="Z13" s="4"/>
      <c r="AA13" s="3"/>
      <c r="AD13" s="3">
        <v>1</v>
      </c>
      <c r="AE13" s="3">
        <f t="shared" ref="AE13" si="2">AE6</f>
        <v>1277</v>
      </c>
      <c r="AF13" s="3">
        <f t="shared" si="0"/>
        <v>4.0999999999999996</v>
      </c>
      <c r="AG13" s="32">
        <f>AE13*1000/(C58+K58+S58+AA58+AI58)/2*(AF13*1000)^2/12/205000/10^5</f>
        <v>18.125187431165703</v>
      </c>
      <c r="AH13" s="16">
        <f>1/(AG13/AF6/1000)</f>
        <v>226.20455736364835</v>
      </c>
      <c r="AI13" s="15">
        <f>AE13*1000*(AF13*1000)^2/12/205000/(AF13*1000/200)/10^5</f>
        <v>4.2566666666666677</v>
      </c>
      <c r="AJ13" s="48">
        <f>AI13/((C58+K58+S58+AA58+AI58)*2)*MAX(C58,K58,S58,AA58,AI58)</f>
        <v>0.48077882737846855</v>
      </c>
      <c r="AK13" s="48">
        <f>(G52+G61+O52+O61)/((G52+G61+O52+O61)/AJ13-2)</f>
        <v>0.58482757886551817</v>
      </c>
      <c r="AL13" s="16">
        <f>AK13*10^5*AF13*1000</f>
        <v>239779307.33486241</v>
      </c>
      <c r="AM13" s="50" t="s">
        <v>143</v>
      </c>
    </row>
    <row r="14" spans="2:39" x14ac:dyDescent="0.4">
      <c r="B14" s="3" t="s">
        <v>26</v>
      </c>
      <c r="C14" s="25">
        <f>C15*$AF$5*(1-E14)</f>
        <v>201.31129597197898</v>
      </c>
      <c r="D14" s="4" t="s">
        <v>25</v>
      </c>
      <c r="E14" s="15">
        <f>SUM(E15:E18)</f>
        <v>0.5</v>
      </c>
      <c r="G14" t="s">
        <v>36</v>
      </c>
      <c r="H14" s="18"/>
      <c r="J14" s="3" t="s">
        <v>26</v>
      </c>
      <c r="K14" s="25">
        <f>K15*$AF$5*(1-M14)</f>
        <v>201.31129597197898</v>
      </c>
      <c r="L14" s="4" t="s">
        <v>25</v>
      </c>
      <c r="M14" s="15">
        <f>SUM(M15:M18)</f>
        <v>0.5</v>
      </c>
      <c r="P14" s="3" t="s">
        <v>26</v>
      </c>
      <c r="Q14" s="25">
        <f>Q15*$AF$5*(1-S14)</f>
        <v>183.65805604203152</v>
      </c>
      <c r="R14" s="4" t="s">
        <v>25</v>
      </c>
      <c r="S14" s="15">
        <f>SUM(S15:S18)</f>
        <v>0.5</v>
      </c>
      <c r="U14" t="s">
        <v>36</v>
      </c>
      <c r="V14" s="18"/>
      <c r="X14" s="3" t="s">
        <v>26</v>
      </c>
      <c r="Y14" s="25">
        <f>Y15*$AF$5*(1-AA14)</f>
        <v>183.65805604203152</v>
      </c>
      <c r="Z14" s="4" t="s">
        <v>25</v>
      </c>
      <c r="AA14" s="15">
        <f>SUM(AA15:AA18)</f>
        <v>0.5</v>
      </c>
    </row>
    <row r="15" spans="2:39" x14ac:dyDescent="0.4">
      <c r="B15" s="3" t="s">
        <v>18</v>
      </c>
      <c r="C15" s="13">
        <f>$AE$5/(($C18+$K18)*3+($Q18+$Y18)*2)*C18</f>
        <v>107.36602451838878</v>
      </c>
      <c r="D15" s="4" t="s">
        <v>21</v>
      </c>
      <c r="E15" s="23">
        <v>0.5</v>
      </c>
      <c r="G15" s="34">
        <f>(F13+H12)/G31</f>
        <v>46.720684168843363</v>
      </c>
      <c r="J15" s="3" t="s">
        <v>18</v>
      </c>
      <c r="K15" s="13">
        <f>$AE$5/(($C18+$K18)*3+($Q18+$Y18)*2)*K18</f>
        <v>107.36602451838878</v>
      </c>
      <c r="L15" s="4" t="s">
        <v>21</v>
      </c>
      <c r="M15" s="23">
        <v>0.5</v>
      </c>
      <c r="P15" s="3" t="s">
        <v>18</v>
      </c>
      <c r="Q15" s="13">
        <f>$AE$5/(($C18+$K18)*3+($Q18+$Y18)*2)*Q18</f>
        <v>97.950963222416803</v>
      </c>
      <c r="R15" s="4" t="s">
        <v>21</v>
      </c>
      <c r="S15" s="23">
        <v>0.5</v>
      </c>
      <c r="U15" s="34">
        <f>(T13+V12)/U31</f>
        <v>42.607030126556914</v>
      </c>
      <c r="X15" s="3" t="s">
        <v>18</v>
      </c>
      <c r="Y15" s="13">
        <f>$AE$5/(($C18+$K18)*3+($Q18+$Y18)*2)*Y18</f>
        <v>97.950963222416803</v>
      </c>
      <c r="Z15" s="4" t="s">
        <v>21</v>
      </c>
      <c r="AA15" s="23">
        <v>0.5</v>
      </c>
    </row>
    <row r="16" spans="2:39" x14ac:dyDescent="0.4">
      <c r="B16" s="3" t="s">
        <v>14</v>
      </c>
      <c r="C16" s="11">
        <f>(G12+G21)/D20/2</f>
        <v>3.2222222222222223</v>
      </c>
      <c r="D16" s="4" t="s">
        <v>22</v>
      </c>
      <c r="E16" s="24">
        <v>0</v>
      </c>
      <c r="J16" s="3" t="s">
        <v>14</v>
      </c>
      <c r="K16" s="11">
        <f>(G12+G21)/L20/2</f>
        <v>3.2222222222222223</v>
      </c>
      <c r="L16" s="4" t="s">
        <v>22</v>
      </c>
      <c r="M16" s="24">
        <v>0</v>
      </c>
      <c r="P16" s="3" t="s">
        <v>14</v>
      </c>
      <c r="Q16" s="11">
        <f>(U12+U21)/R20/2</f>
        <v>2.5757575757575757</v>
      </c>
      <c r="R16" s="4" t="s">
        <v>22</v>
      </c>
      <c r="S16" s="24">
        <v>0</v>
      </c>
      <c r="X16" s="3" t="s">
        <v>14</v>
      </c>
      <c r="Y16" s="11">
        <f>(U12+U21)/Z20/2</f>
        <v>2.5757575757575757</v>
      </c>
      <c r="Z16" s="4" t="s">
        <v>22</v>
      </c>
      <c r="AA16" s="24">
        <v>0</v>
      </c>
    </row>
    <row r="17" spans="2:27" x14ac:dyDescent="0.4">
      <c r="B17" s="3" t="s">
        <v>16</v>
      </c>
      <c r="C17" s="11">
        <f>C16/(2+C16)</f>
        <v>0.61702127659574468</v>
      </c>
      <c r="D17" s="4" t="s">
        <v>23</v>
      </c>
      <c r="E17" s="24">
        <v>0</v>
      </c>
      <c r="J17" s="3" t="s">
        <v>16</v>
      </c>
      <c r="K17" s="11">
        <f>K16/(2+K16)</f>
        <v>0.61702127659574468</v>
      </c>
      <c r="L17" s="4" t="s">
        <v>23</v>
      </c>
      <c r="M17" s="24">
        <v>0</v>
      </c>
      <c r="P17" s="3" t="s">
        <v>16</v>
      </c>
      <c r="Q17" s="11">
        <f>Q16/(2+Q16)</f>
        <v>0.5629139072847682</v>
      </c>
      <c r="R17" s="4" t="s">
        <v>23</v>
      </c>
      <c r="S17" s="24">
        <v>0</v>
      </c>
      <c r="X17" s="3" t="s">
        <v>16</v>
      </c>
      <c r="Y17" s="11">
        <f>Y16/(2+Y16)</f>
        <v>0.5629139072847682</v>
      </c>
      <c r="Z17" s="4" t="s">
        <v>23</v>
      </c>
      <c r="AA17" s="24">
        <v>0</v>
      </c>
    </row>
    <row r="18" spans="2:27" x14ac:dyDescent="0.4">
      <c r="B18" s="3" t="s">
        <v>17</v>
      </c>
      <c r="C18" s="11">
        <f>C17*D20</f>
        <v>0.61085106382978727</v>
      </c>
      <c r="D18" s="4" t="s">
        <v>24</v>
      </c>
      <c r="E18" s="24">
        <v>0</v>
      </c>
      <c r="J18" s="3" t="s">
        <v>17</v>
      </c>
      <c r="K18" s="11">
        <f>K17*L20</f>
        <v>0.61085106382978727</v>
      </c>
      <c r="L18" s="4" t="s">
        <v>24</v>
      </c>
      <c r="M18" s="24">
        <v>0</v>
      </c>
      <c r="P18" s="3" t="s">
        <v>17</v>
      </c>
      <c r="Q18" s="11">
        <f>Q17*R20</f>
        <v>0.55728476821192052</v>
      </c>
      <c r="R18" s="4" t="s">
        <v>24</v>
      </c>
      <c r="S18" s="24">
        <v>0</v>
      </c>
      <c r="X18" s="3" t="s">
        <v>17</v>
      </c>
      <c r="Y18" s="11">
        <f>Y17*Z20</f>
        <v>0.55728476821192052</v>
      </c>
      <c r="Z18" s="4" t="s">
        <v>24</v>
      </c>
      <c r="AA18" s="24">
        <v>0</v>
      </c>
    </row>
    <row r="19" spans="2:27" x14ac:dyDescent="0.4">
      <c r="B19" s="3" t="s">
        <v>27</v>
      </c>
      <c r="C19" s="25">
        <f>C15*$AF$5*E14</f>
        <v>201.31129597197898</v>
      </c>
      <c r="D19" s="4" t="s">
        <v>38</v>
      </c>
      <c r="E19" s="16">
        <f>G15+E10</f>
        <v>67.318232282695618</v>
      </c>
      <c r="J19" s="3" t="s">
        <v>27</v>
      </c>
      <c r="K19" s="25">
        <f>K15*$AF$5*M14</f>
        <v>201.31129597197898</v>
      </c>
      <c r="L19" s="4" t="s">
        <v>38</v>
      </c>
      <c r="M19" s="16">
        <f>G15+M10</f>
        <v>67.318232282695618</v>
      </c>
      <c r="P19" s="3" t="s">
        <v>27</v>
      </c>
      <c r="Q19" s="25">
        <f>Q15*$AF$5*S14</f>
        <v>183.65805604203152</v>
      </c>
      <c r="R19" s="4" t="s">
        <v>38</v>
      </c>
      <c r="S19" s="16">
        <f>U15+S10</f>
        <v>61.377992822247371</v>
      </c>
      <c r="X19" s="3" t="s">
        <v>27</v>
      </c>
      <c r="Y19" s="25">
        <f>Y15*$AF$5*AA14</f>
        <v>183.65805604203152</v>
      </c>
      <c r="Z19" s="4" t="s">
        <v>38</v>
      </c>
      <c r="AA19" s="16">
        <f>U15+AA10</f>
        <v>61.377992822247371</v>
      </c>
    </row>
    <row r="20" spans="2:27" x14ac:dyDescent="0.4">
      <c r="C20" s="1"/>
      <c r="D20">
        <f>固定モーメント法!D20</f>
        <v>0.99</v>
      </c>
      <c r="K20" s="1"/>
      <c r="L20">
        <f>固定モーメント法!L20</f>
        <v>0.99</v>
      </c>
      <c r="Q20" s="1"/>
      <c r="R20">
        <f>固定モーメント法!R20</f>
        <v>0.99</v>
      </c>
      <c r="Y20" s="1"/>
      <c r="Z20">
        <f>固定モーメント法!Z20</f>
        <v>0.99</v>
      </c>
    </row>
    <row r="21" spans="2:27" ht="19.5" thickBot="1" x14ac:dyDescent="0.45">
      <c r="C21" s="1"/>
      <c r="D21" s="8"/>
      <c r="E21" s="2"/>
      <c r="F21" s="2" t="s">
        <v>28</v>
      </c>
      <c r="G21" s="2">
        <f>固定モーメント法!G21</f>
        <v>3.19</v>
      </c>
      <c r="H21" s="18">
        <f>K23+K19</f>
        <v>469.55938575293476</v>
      </c>
      <c r="I21" s="2"/>
      <c r="J21" s="2"/>
      <c r="K21" s="9"/>
      <c r="M21" s="20"/>
      <c r="Q21" s="1"/>
      <c r="R21" s="8"/>
      <c r="S21" s="2"/>
      <c r="T21" s="2" t="s">
        <v>28</v>
      </c>
      <c r="U21" s="2">
        <f>固定モーメント法!U21</f>
        <v>2.5499999999999998</v>
      </c>
      <c r="V21" s="18">
        <f>Y23+Y19</f>
        <v>435.74842137059773</v>
      </c>
      <c r="W21" s="2"/>
      <c r="X21" s="2"/>
      <c r="Y21" s="9"/>
    </row>
    <row r="22" spans="2:27" x14ac:dyDescent="0.4">
      <c r="B22" s="3"/>
      <c r="C22" s="5"/>
      <c r="D22" s="6"/>
      <c r="E22" s="7"/>
      <c r="F22" s="18">
        <f>C23+C19</f>
        <v>469.55938575293476</v>
      </c>
      <c r="H22" s="26" t="s">
        <v>29</v>
      </c>
      <c r="J22" s="3"/>
      <c r="K22" s="10"/>
      <c r="L22" s="4"/>
      <c r="M22" s="7"/>
      <c r="P22" s="3"/>
      <c r="Q22" s="5"/>
      <c r="R22" s="6"/>
      <c r="S22" s="7"/>
      <c r="T22" s="18">
        <f>Q23+Q19</f>
        <v>435.74842137059773</v>
      </c>
      <c r="V22" s="26" t="s">
        <v>29</v>
      </c>
      <c r="X22" s="3"/>
      <c r="Y22" s="10"/>
      <c r="Z22" s="4"/>
      <c r="AA22" s="3"/>
    </row>
    <row r="23" spans="2:27" x14ac:dyDescent="0.4">
      <c r="B23" s="3" t="s">
        <v>26</v>
      </c>
      <c r="C23" s="25">
        <f>C24*$AF$6*(1-E23)</f>
        <v>268.24808978095581</v>
      </c>
      <c r="D23" s="4" t="s">
        <v>25</v>
      </c>
      <c r="E23" s="15">
        <f>SUM(E24:E27)</f>
        <v>0.5</v>
      </c>
      <c r="G23" t="s">
        <v>36</v>
      </c>
      <c r="H23" s="18"/>
      <c r="J23" s="3" t="s">
        <v>26</v>
      </c>
      <c r="K23" s="25">
        <f>K24*$AF$6*(1-M23)</f>
        <v>268.24808978095581</v>
      </c>
      <c r="L23" s="4" t="s">
        <v>25</v>
      </c>
      <c r="M23" s="15">
        <f>SUM(M24:M27)</f>
        <v>0.5</v>
      </c>
      <c r="P23" s="3" t="s">
        <v>26</v>
      </c>
      <c r="Q23" s="25">
        <f>Q24*$AF$6*(1-S23)</f>
        <v>252.09036532856624</v>
      </c>
      <c r="R23" s="4" t="s">
        <v>25</v>
      </c>
      <c r="S23" s="15">
        <f>SUM(S24:S27)</f>
        <v>0.5</v>
      </c>
      <c r="U23" t="s">
        <v>36</v>
      </c>
      <c r="V23" s="18"/>
      <c r="X23" s="3" t="s">
        <v>26</v>
      </c>
      <c r="Y23" s="25">
        <f>Y24*$AF$6*(1-AA23)</f>
        <v>252.09036532856624</v>
      </c>
      <c r="Z23" s="4" t="s">
        <v>25</v>
      </c>
      <c r="AA23" s="15">
        <f>SUM(AA24:AA27)</f>
        <v>0.5</v>
      </c>
    </row>
    <row r="24" spans="2:27" x14ac:dyDescent="0.4">
      <c r="B24" s="3" t="s">
        <v>18</v>
      </c>
      <c r="C24" s="13">
        <f>$AE$6/(($C27+$K27)*3+($Q27+$Y27)*2)*C27</f>
        <v>130.85272672241749</v>
      </c>
      <c r="D24" s="4" t="s">
        <v>21</v>
      </c>
      <c r="E24" s="23">
        <v>0.55000000000000004</v>
      </c>
      <c r="G24" s="34">
        <f>(F22+H21)/G31</f>
        <v>69.667564651770732</v>
      </c>
      <c r="J24" s="3" t="s">
        <v>18</v>
      </c>
      <c r="K24" s="13">
        <f>$AE$6/(($C27+$K27)*3+($Q27+$Y27)*2)*K27</f>
        <v>130.85272672241749</v>
      </c>
      <c r="L24" s="4" t="s">
        <v>21</v>
      </c>
      <c r="M24" s="23">
        <v>0.55000000000000004</v>
      </c>
      <c r="P24" s="3" t="s">
        <v>18</v>
      </c>
      <c r="Q24" s="13">
        <f>$AE$6/(($C27+$K27)*3+($Q27+$Y27)*2)*Q27</f>
        <v>122.97090991637378</v>
      </c>
      <c r="R24" s="4" t="s">
        <v>21</v>
      </c>
      <c r="S24" s="23">
        <v>0.55000000000000004</v>
      </c>
      <c r="U24" s="34">
        <f>(T22+V21)/U31</f>
        <v>64.651101093560484</v>
      </c>
      <c r="X24" s="3" t="s">
        <v>18</v>
      </c>
      <c r="Y24" s="13">
        <f>$AE$6/(($C27+$K27)*3+($Q27+$Y27)*2)*Y27</f>
        <v>122.97090991637378</v>
      </c>
      <c r="Z24" s="4" t="s">
        <v>21</v>
      </c>
      <c r="AA24" s="23">
        <v>0.55000000000000004</v>
      </c>
    </row>
    <row r="25" spans="2:27" x14ac:dyDescent="0.4">
      <c r="B25" s="3" t="s">
        <v>14</v>
      </c>
      <c r="C25" s="11">
        <f>(G21+G30)/2/D29</f>
        <v>2.690833556687215</v>
      </c>
      <c r="D25" s="4" t="s">
        <v>22</v>
      </c>
      <c r="E25" s="47">
        <v>-0.05</v>
      </c>
      <c r="J25" s="3" t="s">
        <v>13</v>
      </c>
      <c r="K25" s="11">
        <f>(G21+G30)/2/L29</f>
        <v>2.690833556687215</v>
      </c>
      <c r="L25" s="4" t="s">
        <v>22</v>
      </c>
      <c r="M25" s="47">
        <v>-0.05</v>
      </c>
      <c r="P25" s="3" t="s">
        <v>14</v>
      </c>
      <c r="Q25" s="11">
        <f>(U21+U30)/2/R29</f>
        <v>2.3391852050388633</v>
      </c>
      <c r="R25" s="4" t="s">
        <v>22</v>
      </c>
      <c r="S25" s="47">
        <v>-0.05</v>
      </c>
      <c r="X25" s="3" t="s">
        <v>13</v>
      </c>
      <c r="Y25" s="11">
        <f>(U21+U30)/2/Z29</f>
        <v>2.3391852050388633</v>
      </c>
      <c r="Z25" s="4" t="s">
        <v>22</v>
      </c>
      <c r="AA25" s="47">
        <v>-0.05</v>
      </c>
    </row>
    <row r="26" spans="2:27" x14ac:dyDescent="0.4">
      <c r="B26" s="3" t="s">
        <v>16</v>
      </c>
      <c r="C26" s="11">
        <f>C25/(2+C25)</f>
        <v>0.57363654543896236</v>
      </c>
      <c r="D26" s="4" t="s">
        <v>23</v>
      </c>
      <c r="E26" s="24">
        <v>0</v>
      </c>
      <c r="J26" s="3" t="s">
        <v>16</v>
      </c>
      <c r="K26" s="11">
        <f>K25/(2+K25)</f>
        <v>0.57363654543896236</v>
      </c>
      <c r="L26" s="4" t="s">
        <v>23</v>
      </c>
      <c r="M26" s="24">
        <v>0</v>
      </c>
      <c r="P26" s="3" t="s">
        <v>16</v>
      </c>
      <c r="Q26" s="11">
        <f>Q25/(2+Q25)</f>
        <v>0.53908397418079623</v>
      </c>
      <c r="R26" s="4" t="s">
        <v>23</v>
      </c>
      <c r="S26" s="24">
        <v>0</v>
      </c>
      <c r="X26" s="3" t="s">
        <v>16</v>
      </c>
      <c r="Y26" s="11">
        <f>Y25/(2+Y25)</f>
        <v>0.53908397418079623</v>
      </c>
      <c r="Z26" s="4" t="s">
        <v>23</v>
      </c>
      <c r="AA26" s="24">
        <v>0</v>
      </c>
    </row>
    <row r="27" spans="2:27" x14ac:dyDescent="0.4">
      <c r="B27" s="3" t="s">
        <v>17</v>
      </c>
      <c r="C27" s="11">
        <f>C26*D29</f>
        <v>0.52200925634945572</v>
      </c>
      <c r="D27" s="4" t="s">
        <v>24</v>
      </c>
      <c r="E27" s="24">
        <v>0</v>
      </c>
      <c r="J27" s="3" t="s">
        <v>17</v>
      </c>
      <c r="K27" s="11">
        <f>K26*L29</f>
        <v>0.52200925634945572</v>
      </c>
      <c r="L27" s="4" t="s">
        <v>24</v>
      </c>
      <c r="M27" s="24">
        <v>0</v>
      </c>
      <c r="P27" s="3" t="s">
        <v>17</v>
      </c>
      <c r="Q27" s="11">
        <f>Q26*R29</f>
        <v>0.49056641650452459</v>
      </c>
      <c r="R27" s="4" t="s">
        <v>24</v>
      </c>
      <c r="S27" s="24">
        <v>0</v>
      </c>
      <c r="X27" s="3" t="s">
        <v>17</v>
      </c>
      <c r="Y27" s="11">
        <f>Y26*Z29</f>
        <v>0.49056641650452459</v>
      </c>
      <c r="Z27" s="4" t="s">
        <v>24</v>
      </c>
      <c r="AA27" s="24">
        <v>0</v>
      </c>
    </row>
    <row r="28" spans="2:27" x14ac:dyDescent="0.4">
      <c r="B28" s="3" t="s">
        <v>27</v>
      </c>
      <c r="C28" s="25">
        <f>C24*$AF$6*E23</f>
        <v>268.24808978095581</v>
      </c>
      <c r="D28" s="4" t="s">
        <v>38</v>
      </c>
      <c r="E28" s="16">
        <f>G24+E19</f>
        <v>136.98579693446635</v>
      </c>
      <c r="J28" s="3" t="s">
        <v>27</v>
      </c>
      <c r="K28" s="25">
        <f>K24*$AF$6*M23</f>
        <v>268.24808978095581</v>
      </c>
      <c r="L28" s="4" t="s">
        <v>38</v>
      </c>
      <c r="M28" s="16">
        <f>G24+M19</f>
        <v>136.98579693446635</v>
      </c>
      <c r="P28" s="3" t="s">
        <v>27</v>
      </c>
      <c r="Q28" s="25">
        <f>Q24*$AF$6*S23</f>
        <v>252.09036532856624</v>
      </c>
      <c r="R28" s="4" t="s">
        <v>38</v>
      </c>
      <c r="S28" s="16">
        <f>U24+S19</f>
        <v>126.02909391580786</v>
      </c>
      <c r="X28" s="3" t="s">
        <v>27</v>
      </c>
      <c r="Y28" s="25">
        <f>Y24*$AF$6*AA23</f>
        <v>252.09036532856624</v>
      </c>
      <c r="Z28" s="4" t="s">
        <v>38</v>
      </c>
      <c r="AA28" s="16">
        <f>U24+AA19</f>
        <v>126.02909391580786</v>
      </c>
    </row>
    <row r="29" spans="2:27" x14ac:dyDescent="0.4">
      <c r="C29" s="1"/>
      <c r="D29">
        <f>固定モーメント法!D29</f>
        <v>0.91</v>
      </c>
      <c r="K29" s="1"/>
      <c r="L29">
        <f>固定モーメント法!L29</f>
        <v>0.91</v>
      </c>
      <c r="Q29" s="1"/>
      <c r="R29">
        <f>固定モーメント法!R29</f>
        <v>0.91</v>
      </c>
      <c r="Y29" s="1"/>
      <c r="Z29">
        <f>固定モーメント法!Z29</f>
        <v>0.91</v>
      </c>
    </row>
    <row r="30" spans="2:27" x14ac:dyDescent="0.4">
      <c r="C30" s="1"/>
      <c r="G30" s="40">
        <f>基礎梁成と変形関係!E6/10^5</f>
        <v>1.7073170731707317</v>
      </c>
      <c r="K30" s="1"/>
      <c r="Q30" s="1"/>
      <c r="U30" s="40">
        <f>基礎梁成と変形関係!E6/10^5</f>
        <v>1.7073170731707317</v>
      </c>
      <c r="Y30" s="1"/>
    </row>
    <row r="31" spans="2:27" x14ac:dyDescent="0.4">
      <c r="D31" s="18"/>
      <c r="F31" t="s">
        <v>37</v>
      </c>
      <c r="G31">
        <v>13.48</v>
      </c>
      <c r="L31" s="18"/>
      <c r="R31" s="18"/>
      <c r="U31">
        <v>13.48</v>
      </c>
      <c r="Z31" s="18"/>
    </row>
    <row r="34" spans="2:37" ht="19.5" thickBot="1" x14ac:dyDescent="0.45">
      <c r="D34" s="2"/>
      <c r="E34" s="2"/>
      <c r="F34" s="2" t="s">
        <v>28</v>
      </c>
      <c r="G34" s="2">
        <f>固定モーメント法!G34</f>
        <v>1</v>
      </c>
      <c r="H34" s="18">
        <f>(K36+K32)/(G34+O34)*G34</f>
        <v>86.295634898609521</v>
      </c>
      <c r="I34" s="2"/>
      <c r="J34" s="2"/>
      <c r="K34" s="2"/>
      <c r="L34" s="2"/>
      <c r="M34" s="2"/>
      <c r="N34" s="2" t="s">
        <v>28</v>
      </c>
      <c r="O34" s="2">
        <f>固定モーメント法!O34</f>
        <v>0.99</v>
      </c>
      <c r="P34" s="18">
        <f>(S36+S32)/(O34+W34)*O34</f>
        <v>85.723908714035545</v>
      </c>
      <c r="Q34" s="2"/>
      <c r="R34" s="2"/>
      <c r="T34" s="2"/>
      <c r="U34" s="2"/>
      <c r="V34" s="2" t="s">
        <v>28</v>
      </c>
      <c r="W34" s="2">
        <f>固定モーメント法!W34</f>
        <v>0.99</v>
      </c>
      <c r="X34" s="18">
        <f>(AA36+AA32)/(W34+AE34)*W34</f>
        <v>85.432678549623404</v>
      </c>
      <c r="Y34" s="2"/>
      <c r="Z34" s="2"/>
      <c r="AB34" s="2"/>
      <c r="AC34" s="2"/>
      <c r="AD34" s="2" t="s">
        <v>28</v>
      </c>
      <c r="AE34" s="2">
        <f>固定モーメント法!AE34</f>
        <v>1</v>
      </c>
      <c r="AF34" s="18">
        <f>(AI36+AI32)/(AE34+AM34)*AE34</f>
        <v>112.49931004082369</v>
      </c>
      <c r="AG34" s="2"/>
      <c r="AH34" s="2"/>
      <c r="AI34" s="2"/>
    </row>
    <row r="35" spans="2:37" x14ac:dyDescent="0.4">
      <c r="B35" s="3"/>
      <c r="C35" s="5"/>
      <c r="D35" s="6"/>
      <c r="E35" s="7"/>
      <c r="F35" s="18">
        <f>C36+C32</f>
        <v>112.49931004082369</v>
      </c>
      <c r="H35" s="26" t="s">
        <v>29</v>
      </c>
      <c r="J35" s="3"/>
      <c r="K35" s="10"/>
      <c r="L35" s="6"/>
      <c r="M35" s="7"/>
      <c r="N35" s="18">
        <f>(K36+K32)/(G34+O34)*O34</f>
        <v>85.432678549623418</v>
      </c>
      <c r="P35" s="26" t="s">
        <v>29</v>
      </c>
      <c r="R35" s="3"/>
      <c r="S35" s="10"/>
      <c r="T35" s="6"/>
      <c r="U35" s="7"/>
      <c r="V35" s="18">
        <f>(S36+S32)/(O34+W34)*W34</f>
        <v>85.723908714035545</v>
      </c>
      <c r="X35" s="26" t="s">
        <v>29</v>
      </c>
      <c r="Z35" s="3"/>
      <c r="AA35" s="10"/>
      <c r="AB35" s="6"/>
      <c r="AC35" s="7"/>
      <c r="AD35" s="18">
        <f>(AA36+AA32)/(W34+AE34)*AE34</f>
        <v>86.295634898609507</v>
      </c>
      <c r="AF35" s="26" t="s">
        <v>29</v>
      </c>
      <c r="AH35" s="3"/>
      <c r="AI35" s="10"/>
      <c r="AJ35" s="4"/>
      <c r="AK35" s="3"/>
    </row>
    <row r="36" spans="2:37" x14ac:dyDescent="0.4">
      <c r="B36" s="3" t="s">
        <v>26</v>
      </c>
      <c r="C36" s="25">
        <f>C37*$AF$4*(1-E36)</f>
        <v>112.49931004082369</v>
      </c>
      <c r="D36" s="4" t="s">
        <v>25</v>
      </c>
      <c r="E36" s="15">
        <f>SUM(E37:E40)</f>
        <v>0.4</v>
      </c>
      <c r="G36" t="s">
        <v>36</v>
      </c>
      <c r="H36" s="18"/>
      <c r="J36" s="3" t="s">
        <v>26</v>
      </c>
      <c r="K36" s="25">
        <f>K37*$AF$6*(1-M36)</f>
        <v>171.72831344823294</v>
      </c>
      <c r="L36" s="4" t="s">
        <v>25</v>
      </c>
      <c r="M36" s="15">
        <f>SUM(M37:M40)</f>
        <v>0.44850000000000001</v>
      </c>
      <c r="N36" s="30"/>
      <c r="O36" t="s">
        <v>36</v>
      </c>
      <c r="P36" s="18"/>
      <c r="R36" s="3" t="s">
        <v>26</v>
      </c>
      <c r="S36" s="25">
        <f>S37*$AF$6*(1-U36)</f>
        <v>171.44781742807109</v>
      </c>
      <c r="T36" s="4" t="s">
        <v>25</v>
      </c>
      <c r="U36" s="15">
        <f>SUM(U37:U40)</f>
        <v>0.44800000000000001</v>
      </c>
      <c r="V36" s="30"/>
      <c r="W36" t="s">
        <v>36</v>
      </c>
      <c r="X36" s="18"/>
      <c r="Z36" s="3" t="s">
        <v>26</v>
      </c>
      <c r="AA36" s="25">
        <f>AA37*$AF$6*(1-AC36)</f>
        <v>171.72831344823291</v>
      </c>
      <c r="AB36" s="4" t="s">
        <v>25</v>
      </c>
      <c r="AC36" s="15">
        <f>SUM(AC37:AC40)</f>
        <v>0.44850000000000001</v>
      </c>
      <c r="AD36" s="30"/>
      <c r="AE36" t="s">
        <v>36</v>
      </c>
      <c r="AF36" s="18"/>
      <c r="AH36" s="3" t="s">
        <v>26</v>
      </c>
      <c r="AI36" s="25">
        <f>AI37*$AF$4*(1-AK36)</f>
        <v>112.49931004082369</v>
      </c>
      <c r="AJ36" s="4" t="s">
        <v>25</v>
      </c>
      <c r="AK36" s="15">
        <f>SUM(AK37:AK40)</f>
        <v>0.4</v>
      </c>
    </row>
    <row r="37" spans="2:37" x14ac:dyDescent="0.4">
      <c r="B37" s="3" t="s">
        <v>18</v>
      </c>
      <c r="C37" s="13">
        <f>$AE$4/($C40+$K40+$S40+$AA40+$AI40)/2*C40</f>
        <v>50.675364883253913</v>
      </c>
      <c r="D37" s="4" t="s">
        <v>21</v>
      </c>
      <c r="E37" s="23">
        <v>0.4</v>
      </c>
      <c r="G37" s="34">
        <f>(F35+H34)/G63</f>
        <v>35.247330663020072</v>
      </c>
      <c r="J37" s="3" t="s">
        <v>18</v>
      </c>
      <c r="K37" s="13">
        <f>$AE$4/($C40+$K40+$S40+$AA40+$AI40)/2*K40</f>
        <v>75.947333634757953</v>
      </c>
      <c r="L37" s="4" t="s">
        <v>21</v>
      </c>
      <c r="M37" s="23">
        <v>0.44850000000000001</v>
      </c>
      <c r="N37" s="28"/>
      <c r="O37" s="34">
        <f>(N35+P34)/O63</f>
        <v>30.027471449764729</v>
      </c>
      <c r="R37" s="3" t="s">
        <v>18</v>
      </c>
      <c r="S37" s="13">
        <f>$AE$4/($C40+$K40+$S40+$AA40+$AI40)/2*S40</f>
        <v>75.754602963976268</v>
      </c>
      <c r="T37" s="4" t="s">
        <v>21</v>
      </c>
      <c r="U37" s="23">
        <v>0.44800000000000001</v>
      </c>
      <c r="V37" s="28"/>
      <c r="W37" s="34">
        <f>(V35+X34)/W63</f>
        <v>30.027471449764725</v>
      </c>
      <c r="Z37" s="3" t="s">
        <v>18</v>
      </c>
      <c r="AA37" s="13">
        <f>$AE$4/($C40+$K40+$S40+$AA40+$AI40)/2*AA40</f>
        <v>75.947333634757939</v>
      </c>
      <c r="AB37" s="4" t="s">
        <v>21</v>
      </c>
      <c r="AC37" s="23">
        <v>0.44850000000000001</v>
      </c>
      <c r="AD37" s="28"/>
      <c r="AE37" s="34">
        <f>(AD35+AF34)/AE63</f>
        <v>35.247330663020072</v>
      </c>
      <c r="AH37" s="3" t="s">
        <v>18</v>
      </c>
      <c r="AI37" s="13">
        <f>$AE$4/($C40+$K40+$S40+$AA40+$AI40)/2*AI40</f>
        <v>50.675364883253913</v>
      </c>
      <c r="AJ37" s="4" t="s">
        <v>21</v>
      </c>
      <c r="AK37" s="23">
        <v>0.4</v>
      </c>
    </row>
    <row r="38" spans="2:37" x14ac:dyDescent="0.4">
      <c r="B38" s="3" t="s">
        <v>14</v>
      </c>
      <c r="C38" s="11">
        <f>(G34+G43)/D42/2</f>
        <v>0.99009900990099009</v>
      </c>
      <c r="D38" s="4" t="s">
        <v>22</v>
      </c>
      <c r="E38" s="24">
        <v>0</v>
      </c>
      <c r="J38" s="3" t="s">
        <v>14</v>
      </c>
      <c r="K38" s="11">
        <f>(O34+G34+G43+O43)/2/L42</f>
        <v>1.9702970297029705</v>
      </c>
      <c r="L38" s="4" t="s">
        <v>22</v>
      </c>
      <c r="M38" s="24">
        <v>0</v>
      </c>
      <c r="N38" s="29"/>
      <c r="R38" s="3" t="s">
        <v>14</v>
      </c>
      <c r="S38" s="11">
        <f>(W34+O34+O43+W43)/2/T42</f>
        <v>1.9603960396039604</v>
      </c>
      <c r="T38" s="4" t="s">
        <v>22</v>
      </c>
      <c r="U38" s="24">
        <v>0</v>
      </c>
      <c r="V38" s="29"/>
      <c r="Z38" s="3" t="s">
        <v>14</v>
      </c>
      <c r="AA38" s="11">
        <f>(AE34+W34+W43+AE43)/2/AB42</f>
        <v>1.9702970297029703</v>
      </c>
      <c r="AB38" s="4" t="s">
        <v>22</v>
      </c>
      <c r="AC38" s="24">
        <v>0</v>
      </c>
      <c r="AD38" s="29"/>
      <c r="AH38" s="3" t="s">
        <v>14</v>
      </c>
      <c r="AI38" s="11">
        <f>(AE34+AE43)/AJ42/2</f>
        <v>0.99009900990099009</v>
      </c>
      <c r="AJ38" s="4" t="s">
        <v>22</v>
      </c>
      <c r="AK38" s="24">
        <v>0</v>
      </c>
    </row>
    <row r="39" spans="2:37" x14ac:dyDescent="0.4">
      <c r="B39" s="3" t="s">
        <v>16</v>
      </c>
      <c r="C39" s="11">
        <f>C38/(2+C38)</f>
        <v>0.33112582781456956</v>
      </c>
      <c r="D39" s="4" t="s">
        <v>23</v>
      </c>
      <c r="E39" s="24">
        <v>0</v>
      </c>
      <c r="J39" s="3" t="s">
        <v>16</v>
      </c>
      <c r="K39" s="11">
        <f>K38/(2+K38)</f>
        <v>0.4962593516209477</v>
      </c>
      <c r="L39" s="4" t="s">
        <v>23</v>
      </c>
      <c r="M39" s="24">
        <v>0</v>
      </c>
      <c r="N39" s="29"/>
      <c r="R39" s="3" t="s">
        <v>16</v>
      </c>
      <c r="S39" s="11">
        <f>S38/(2+S38)</f>
        <v>0.495</v>
      </c>
      <c r="T39" s="4" t="s">
        <v>23</v>
      </c>
      <c r="U39" s="24">
        <v>0</v>
      </c>
      <c r="V39" s="29"/>
      <c r="Z39" s="3" t="s">
        <v>16</v>
      </c>
      <c r="AA39" s="11">
        <f>AA38/(2+AA38)</f>
        <v>0.49625935162094764</v>
      </c>
      <c r="AB39" s="4" t="s">
        <v>23</v>
      </c>
      <c r="AC39" s="24">
        <v>0</v>
      </c>
      <c r="AD39" s="29"/>
      <c r="AH39" s="3" t="s">
        <v>16</v>
      </c>
      <c r="AI39" s="11">
        <f>AI38/(2+AI38)</f>
        <v>0.33112582781456956</v>
      </c>
      <c r="AJ39" s="4" t="s">
        <v>23</v>
      </c>
      <c r="AK39" s="24">
        <v>0</v>
      </c>
    </row>
    <row r="40" spans="2:37" x14ac:dyDescent="0.4">
      <c r="B40" s="3" t="s">
        <v>17</v>
      </c>
      <c r="C40" s="11">
        <f>C39*D42</f>
        <v>0.33443708609271527</v>
      </c>
      <c r="D40" s="4" t="s">
        <v>24</v>
      </c>
      <c r="E40" s="24">
        <v>0</v>
      </c>
      <c r="J40" s="3" t="s">
        <v>17</v>
      </c>
      <c r="K40" s="11">
        <f>K39*L42</f>
        <v>0.50122194513715723</v>
      </c>
      <c r="L40" s="4" t="s">
        <v>24</v>
      </c>
      <c r="M40" s="24">
        <v>0</v>
      </c>
      <c r="N40" s="29"/>
      <c r="R40" s="3" t="s">
        <v>17</v>
      </c>
      <c r="S40" s="11">
        <f>S39*T42</f>
        <v>0.49995000000000001</v>
      </c>
      <c r="T40" s="4" t="s">
        <v>24</v>
      </c>
      <c r="U40" s="24">
        <v>0</v>
      </c>
      <c r="V40" s="29"/>
      <c r="Z40" s="3" t="s">
        <v>17</v>
      </c>
      <c r="AA40" s="11">
        <f>AA39*AB42</f>
        <v>0.50122194513715712</v>
      </c>
      <c r="AB40" s="4" t="s">
        <v>24</v>
      </c>
      <c r="AC40" s="24">
        <v>0</v>
      </c>
      <c r="AD40" s="29"/>
      <c r="AH40" s="3" t="s">
        <v>17</v>
      </c>
      <c r="AI40" s="11">
        <f>AI39*AJ42</f>
        <v>0.33443708609271527</v>
      </c>
      <c r="AJ40" s="4" t="s">
        <v>24</v>
      </c>
      <c r="AK40" s="24">
        <v>0</v>
      </c>
    </row>
    <row r="41" spans="2:37" x14ac:dyDescent="0.4">
      <c r="B41" s="3" t="s">
        <v>27</v>
      </c>
      <c r="C41" s="25">
        <f>C37*$AF$4*E36</f>
        <v>74.999540027215787</v>
      </c>
      <c r="D41" s="4" t="s">
        <v>38</v>
      </c>
      <c r="E41" s="16">
        <f>G37</f>
        <v>35.247330663020072</v>
      </c>
      <c r="J41" s="3" t="s">
        <v>27</v>
      </c>
      <c r="K41" s="25">
        <f>K37*$AF$6*M36</f>
        <v>139.65575445427464</v>
      </c>
      <c r="L41" s="4" t="s">
        <v>38</v>
      </c>
      <c r="M41" s="16">
        <f>O37-G37</f>
        <v>-5.2198592132553436</v>
      </c>
      <c r="N41" s="29"/>
      <c r="R41" s="3" t="s">
        <v>27</v>
      </c>
      <c r="S41" s="25">
        <f>S37*$AF$6*U36</f>
        <v>139.14605472423159</v>
      </c>
      <c r="T41" s="4" t="s">
        <v>38</v>
      </c>
      <c r="U41" s="16">
        <f>W37-O37</f>
        <v>0</v>
      </c>
      <c r="V41" s="29"/>
      <c r="Z41" s="3" t="s">
        <v>27</v>
      </c>
      <c r="AA41" s="25">
        <f>AA37*$AF$6*AC36</f>
        <v>139.65575445427461</v>
      </c>
      <c r="AB41" s="4" t="s">
        <v>38</v>
      </c>
      <c r="AC41" s="16">
        <f>AE37-W37</f>
        <v>5.2198592132553472</v>
      </c>
      <c r="AD41" s="29"/>
      <c r="AH41" s="3" t="s">
        <v>27</v>
      </c>
      <c r="AI41" s="25">
        <f>AI37*$AF$4*AK36</f>
        <v>74.999540027215787</v>
      </c>
      <c r="AJ41" s="4" t="s">
        <v>38</v>
      </c>
      <c r="AK41" s="16">
        <f>AE37</f>
        <v>35.247330663020072</v>
      </c>
    </row>
    <row r="42" spans="2:37" x14ac:dyDescent="0.4">
      <c r="C42" s="1"/>
      <c r="D42">
        <f>固定モーメント法!D42</f>
        <v>1.01</v>
      </c>
      <c r="K42" s="1"/>
      <c r="L42">
        <f>固定モーメント法!L42</f>
        <v>1.01</v>
      </c>
      <c r="S42" s="1"/>
      <c r="T42">
        <f>固定モーメント法!T42</f>
        <v>1.01</v>
      </c>
      <c r="AA42" s="1"/>
      <c r="AB42">
        <f>固定モーメント法!AB42</f>
        <v>1.01</v>
      </c>
      <c r="AI42" s="1"/>
      <c r="AJ42">
        <f>固定モーメント法!AJ42</f>
        <v>1.01</v>
      </c>
    </row>
    <row r="43" spans="2:37" ht="19.5" thickBot="1" x14ac:dyDescent="0.45">
      <c r="C43" s="1"/>
      <c r="D43" s="8"/>
      <c r="E43" s="2"/>
      <c r="F43" s="2" t="s">
        <v>28</v>
      </c>
      <c r="G43" s="2">
        <f>固定モーメント法!G43</f>
        <v>1</v>
      </c>
      <c r="H43" s="18">
        <f>(K45+K41)/(G43+O43)*G43</f>
        <v>193.2344141332934</v>
      </c>
      <c r="I43" s="2"/>
      <c r="J43" s="2"/>
      <c r="K43" s="9"/>
      <c r="L43" s="8"/>
      <c r="M43" s="2"/>
      <c r="N43" s="2" t="s">
        <v>28</v>
      </c>
      <c r="O43" s="2">
        <f>固定モーメント法!O43</f>
        <v>0.99</v>
      </c>
      <c r="P43" s="18">
        <f>(S45+S41)/(O43+W43)*O43</f>
        <v>191.70575308997851</v>
      </c>
      <c r="Q43" s="2"/>
      <c r="R43" s="2"/>
      <c r="S43" s="9"/>
      <c r="T43" s="8"/>
      <c r="U43" s="2"/>
      <c r="V43" s="2" t="s">
        <v>28</v>
      </c>
      <c r="W43" s="2">
        <f>固定モーメント法!W43</f>
        <v>0.99</v>
      </c>
      <c r="X43" s="18">
        <f>(AA45+AA41)/(W43+AE43)*W43</f>
        <v>191.30206999196039</v>
      </c>
      <c r="Y43" s="2"/>
      <c r="Z43" s="2"/>
      <c r="AA43" s="9"/>
      <c r="AB43" s="8"/>
      <c r="AC43" s="2"/>
      <c r="AD43" s="2" t="s">
        <v>28</v>
      </c>
      <c r="AE43" s="2">
        <f>固定モーメント法!AE43</f>
        <v>1</v>
      </c>
      <c r="AF43" s="18">
        <f>(AI45+AI41)/(AE43+AM43)*AE43</f>
        <v>238.43627808995564</v>
      </c>
      <c r="AG43" s="2"/>
      <c r="AH43" s="2"/>
      <c r="AI43" s="9"/>
      <c r="AK43" s="20"/>
    </row>
    <row r="44" spans="2:37" x14ac:dyDescent="0.4">
      <c r="B44" s="3"/>
      <c r="C44" s="5"/>
      <c r="D44" s="6"/>
      <c r="E44" s="7"/>
      <c r="F44" s="18">
        <f>C45+C41</f>
        <v>238.43627808995564</v>
      </c>
      <c r="H44" s="26" t="s">
        <v>29</v>
      </c>
      <c r="J44" s="3"/>
      <c r="K44" s="10"/>
      <c r="L44" s="6"/>
      <c r="M44" s="7"/>
      <c r="N44" s="18">
        <f>(K45+K41)/(G43+O43)*O43</f>
        <v>191.30206999196045</v>
      </c>
      <c r="P44" s="26" t="s">
        <v>29</v>
      </c>
      <c r="R44" s="3"/>
      <c r="S44" s="10"/>
      <c r="T44" s="6"/>
      <c r="U44" s="7"/>
      <c r="V44" s="18">
        <f>(S45+S41)/(O43+W43)*W43</f>
        <v>191.70575308997851</v>
      </c>
      <c r="X44" s="26" t="s">
        <v>29</v>
      </c>
      <c r="Z44" s="3"/>
      <c r="AA44" s="10"/>
      <c r="AB44" s="6"/>
      <c r="AC44" s="7"/>
      <c r="AD44" s="18">
        <f>(AA45+AA41)/(W43+AE43)*AE43</f>
        <v>193.23441413329334</v>
      </c>
      <c r="AF44" s="26" t="s">
        <v>29</v>
      </c>
      <c r="AH44" s="3"/>
      <c r="AI44" s="10"/>
      <c r="AJ44" s="4"/>
      <c r="AK44" s="7"/>
    </row>
    <row r="45" spans="2:37" x14ac:dyDescent="0.4">
      <c r="B45" s="3" t="s">
        <v>26</v>
      </c>
      <c r="C45" s="25">
        <f>C46*$AF$5*(1-E45)</f>
        <v>163.43673806273986</v>
      </c>
      <c r="D45" s="4" t="s">
        <v>25</v>
      </c>
      <c r="E45" s="15">
        <f>SUM(E46:E49)</f>
        <v>0.45500000000000002</v>
      </c>
      <c r="G45" t="s">
        <v>36</v>
      </c>
      <c r="H45" s="18"/>
      <c r="J45" s="3" t="s">
        <v>26</v>
      </c>
      <c r="K45" s="25">
        <f>K46*$AF$6*(1-M45)</f>
        <v>244.88072967097921</v>
      </c>
      <c r="L45" s="4" t="s">
        <v>25</v>
      </c>
      <c r="M45" s="15">
        <f>SUM(M46:M49)</f>
        <v>0.5</v>
      </c>
      <c r="N45" s="30"/>
      <c r="O45" t="s">
        <v>36</v>
      </c>
      <c r="P45" s="18"/>
      <c r="R45" s="3" t="s">
        <v>26</v>
      </c>
      <c r="S45" s="25">
        <f>S46*$AF$6*(1-U45)</f>
        <v>244.26545145572544</v>
      </c>
      <c r="T45" s="4" t="s">
        <v>25</v>
      </c>
      <c r="U45" s="15">
        <f>SUM(U46:U49)</f>
        <v>0.5</v>
      </c>
      <c r="V45" s="30"/>
      <c r="W45" t="s">
        <v>36</v>
      </c>
      <c r="X45" s="18"/>
      <c r="Z45" s="3" t="s">
        <v>26</v>
      </c>
      <c r="AA45" s="25">
        <f>AA46*$AF$6*(1-AC45)</f>
        <v>244.88072967097915</v>
      </c>
      <c r="AB45" s="4" t="s">
        <v>25</v>
      </c>
      <c r="AC45" s="15">
        <f>SUM(AC46:AC49)</f>
        <v>0.5</v>
      </c>
      <c r="AD45" s="30"/>
      <c r="AE45" t="s">
        <v>36</v>
      </c>
      <c r="AF45" s="18"/>
      <c r="AH45" s="3" t="s">
        <v>26</v>
      </c>
      <c r="AI45" s="25">
        <f>AI46*$AF$5*(1-AK45)</f>
        <v>163.43673806273986</v>
      </c>
      <c r="AJ45" s="4" t="s">
        <v>25</v>
      </c>
      <c r="AK45" s="15">
        <f>SUM(AK46:AK49)</f>
        <v>0.45500000000000002</v>
      </c>
    </row>
    <row r="46" spans="2:37" x14ac:dyDescent="0.4">
      <c r="B46" s="3" t="s">
        <v>18</v>
      </c>
      <c r="C46" s="13">
        <f>$AE$5/($C49+$K49+$S49+$AA49+$AI49)/2*C49</f>
        <v>79.969046146906365</v>
      </c>
      <c r="D46" s="4" t="s">
        <v>21</v>
      </c>
      <c r="E46" s="23">
        <v>0.45500000000000002</v>
      </c>
      <c r="G46" s="34">
        <f>(F44+H43)/G63</f>
        <v>76.537356777171823</v>
      </c>
      <c r="J46" s="3" t="s">
        <v>18</v>
      </c>
      <c r="K46" s="13">
        <f>$AE$5/($C49+$K49+$S49+$AA49+$AI49)/2*K49</f>
        <v>119.4540144736484</v>
      </c>
      <c r="L46" s="4" t="s">
        <v>21</v>
      </c>
      <c r="M46" s="23">
        <v>0.5</v>
      </c>
      <c r="N46" s="28"/>
      <c r="O46" s="34">
        <f>(N44+P43)/O63</f>
        <v>67.194354926655961</v>
      </c>
      <c r="R46" s="3" t="s">
        <v>18</v>
      </c>
      <c r="S46" s="13">
        <f>$AE$5/($C49+$K49+$S49+$AA49+$AI49)/2*S49</f>
        <v>119.15387875889047</v>
      </c>
      <c r="T46" s="4" t="s">
        <v>21</v>
      </c>
      <c r="U46" s="23">
        <v>0.5</v>
      </c>
      <c r="V46" s="28"/>
      <c r="W46" s="34">
        <f>(V44+X43)/W63</f>
        <v>67.194354926655947</v>
      </c>
      <c r="Z46" s="3" t="s">
        <v>18</v>
      </c>
      <c r="AA46" s="13">
        <f>$AE$5/($C49+$K49+$S49+$AA49+$AI49)/2*AA49</f>
        <v>119.45401447364837</v>
      </c>
      <c r="AB46" s="4" t="s">
        <v>21</v>
      </c>
      <c r="AC46" s="23">
        <v>0.5</v>
      </c>
      <c r="AD46" s="28"/>
      <c r="AE46" s="34">
        <f>(AD44+AF43)/AE63</f>
        <v>76.537356777171809</v>
      </c>
      <c r="AH46" s="3" t="s">
        <v>18</v>
      </c>
      <c r="AI46" s="13">
        <f>$AE$5/($C49+$K49+$S49+$AA49+$AI49)/2*AI49</f>
        <v>79.969046146906365</v>
      </c>
      <c r="AJ46" s="4" t="s">
        <v>21</v>
      </c>
      <c r="AK46" s="23">
        <v>0.45500000000000002</v>
      </c>
    </row>
    <row r="47" spans="2:37" x14ac:dyDescent="0.4">
      <c r="B47" s="3" t="s">
        <v>14</v>
      </c>
      <c r="C47" s="11">
        <f>(G43+G52)/D51/2</f>
        <v>1.0101010101010102</v>
      </c>
      <c r="D47" s="4" t="s">
        <v>22</v>
      </c>
      <c r="E47" s="24">
        <v>0</v>
      </c>
      <c r="J47" s="3" t="s">
        <v>14</v>
      </c>
      <c r="K47" s="11">
        <f>(O43+G43+G52+O52)/2/L51</f>
        <v>2.0101010101010104</v>
      </c>
      <c r="L47" s="4" t="s">
        <v>22</v>
      </c>
      <c r="M47" s="24">
        <v>0</v>
      </c>
      <c r="N47" s="29"/>
      <c r="R47" s="3" t="s">
        <v>14</v>
      </c>
      <c r="S47" s="11">
        <f>(W43+O43+O52+W52)/2/T51</f>
        <v>2</v>
      </c>
      <c r="T47" s="4" t="s">
        <v>22</v>
      </c>
      <c r="U47" s="24">
        <v>0</v>
      </c>
      <c r="V47" s="29"/>
      <c r="Z47" s="3" t="s">
        <v>14</v>
      </c>
      <c r="AA47" s="11">
        <f>(AE43+W43+W52+AE52)/2/AB51</f>
        <v>2.0101010101010099</v>
      </c>
      <c r="AB47" s="4" t="s">
        <v>22</v>
      </c>
      <c r="AC47" s="24">
        <v>0</v>
      </c>
      <c r="AD47" s="29"/>
      <c r="AH47" s="3" t="s">
        <v>14</v>
      </c>
      <c r="AI47" s="11">
        <f>(AE43+AE52)/AJ51/2</f>
        <v>1.0101010101010102</v>
      </c>
      <c r="AJ47" s="4" t="s">
        <v>22</v>
      </c>
      <c r="AK47" s="24">
        <v>0</v>
      </c>
    </row>
    <row r="48" spans="2:37" x14ac:dyDescent="0.4">
      <c r="B48" s="3" t="s">
        <v>16</v>
      </c>
      <c r="C48" s="11">
        <f>C47/(2+C47)</f>
        <v>0.33557046979865773</v>
      </c>
      <c r="D48" s="4" t="s">
        <v>23</v>
      </c>
      <c r="E48" s="24">
        <v>0</v>
      </c>
      <c r="J48" s="3" t="s">
        <v>16</v>
      </c>
      <c r="K48" s="11">
        <f>K47/(2+K47)</f>
        <v>0.50125944584382875</v>
      </c>
      <c r="L48" s="4" t="s">
        <v>23</v>
      </c>
      <c r="M48" s="24">
        <v>0</v>
      </c>
      <c r="N48" s="29"/>
      <c r="R48" s="3" t="s">
        <v>16</v>
      </c>
      <c r="S48" s="11">
        <f>S47/(2+S47)</f>
        <v>0.5</v>
      </c>
      <c r="T48" s="4" t="s">
        <v>23</v>
      </c>
      <c r="U48" s="24">
        <v>0</v>
      </c>
      <c r="V48" s="29"/>
      <c r="Z48" s="3" t="s">
        <v>16</v>
      </c>
      <c r="AA48" s="11">
        <f>AA47/(2+AA47)</f>
        <v>0.50125944584382864</v>
      </c>
      <c r="AB48" s="4" t="s">
        <v>23</v>
      </c>
      <c r="AC48" s="24">
        <v>0</v>
      </c>
      <c r="AD48" s="29"/>
      <c r="AH48" s="3" t="s">
        <v>16</v>
      </c>
      <c r="AI48" s="11">
        <f>AI47/(2+AI47)</f>
        <v>0.33557046979865773</v>
      </c>
      <c r="AJ48" s="4" t="s">
        <v>23</v>
      </c>
      <c r="AK48" s="24">
        <v>0</v>
      </c>
    </row>
    <row r="49" spans="2:37" x14ac:dyDescent="0.4">
      <c r="B49" s="3" t="s">
        <v>17</v>
      </c>
      <c r="C49" s="11">
        <f>C48*D51</f>
        <v>0.33221476510067116</v>
      </c>
      <c r="D49" s="4" t="s">
        <v>24</v>
      </c>
      <c r="E49" s="24">
        <v>0</v>
      </c>
      <c r="J49" s="3" t="s">
        <v>17</v>
      </c>
      <c r="K49" s="11">
        <f>K48*L51</f>
        <v>0.49624685138539049</v>
      </c>
      <c r="L49" s="4" t="s">
        <v>24</v>
      </c>
      <c r="M49" s="24">
        <v>0</v>
      </c>
      <c r="N49" s="29"/>
      <c r="R49" s="3" t="s">
        <v>17</v>
      </c>
      <c r="S49" s="11">
        <f>S48*T51</f>
        <v>0.495</v>
      </c>
      <c r="T49" s="4" t="s">
        <v>24</v>
      </c>
      <c r="U49" s="24">
        <v>0</v>
      </c>
      <c r="V49" s="29"/>
      <c r="Z49" s="3" t="s">
        <v>17</v>
      </c>
      <c r="AA49" s="11">
        <f>AA48*AB51</f>
        <v>0.49624685138539038</v>
      </c>
      <c r="AB49" s="4" t="s">
        <v>24</v>
      </c>
      <c r="AC49" s="24">
        <v>0</v>
      </c>
      <c r="AD49" s="29"/>
      <c r="AH49" s="3" t="s">
        <v>17</v>
      </c>
      <c r="AI49" s="11">
        <f>AI48*AJ51</f>
        <v>0.33221476510067116</v>
      </c>
      <c r="AJ49" s="4" t="s">
        <v>24</v>
      </c>
      <c r="AK49" s="24">
        <v>0</v>
      </c>
    </row>
    <row r="50" spans="2:37" x14ac:dyDescent="0.4">
      <c r="B50" s="3" t="s">
        <v>27</v>
      </c>
      <c r="C50" s="25">
        <f>C46*$AF$5*E45</f>
        <v>136.44718498815899</v>
      </c>
      <c r="D50" s="4" t="s">
        <v>38</v>
      </c>
      <c r="E50" s="16">
        <f>G46+E41</f>
        <v>111.7846874401919</v>
      </c>
      <c r="J50" s="3" t="s">
        <v>27</v>
      </c>
      <c r="K50" s="25">
        <f>K46*$AF$6*M45</f>
        <v>244.88072967097921</v>
      </c>
      <c r="L50" s="4" t="s">
        <v>38</v>
      </c>
      <c r="M50" s="16">
        <f>O46+M41-G46</f>
        <v>-14.562861063771209</v>
      </c>
      <c r="N50" s="29"/>
      <c r="R50" s="3" t="s">
        <v>27</v>
      </c>
      <c r="S50" s="25">
        <f>S46*$AF$6*U45</f>
        <v>244.26545145572544</v>
      </c>
      <c r="T50" s="4" t="s">
        <v>38</v>
      </c>
      <c r="U50" s="16">
        <f>W46+U41-O46</f>
        <v>0</v>
      </c>
      <c r="V50" s="29"/>
      <c r="Z50" s="3" t="s">
        <v>27</v>
      </c>
      <c r="AA50" s="25">
        <f>AA46*$AF$6*AC45</f>
        <v>244.88072967097915</v>
      </c>
      <c r="AB50" s="4" t="s">
        <v>38</v>
      </c>
      <c r="AC50" s="16">
        <f>AE46+AC41-W46</f>
        <v>14.562861063771209</v>
      </c>
      <c r="AD50" s="29"/>
      <c r="AH50" s="3" t="s">
        <v>27</v>
      </c>
      <c r="AI50" s="25">
        <f>AI46*$AF$5*AK45</f>
        <v>136.44718498815899</v>
      </c>
      <c r="AJ50" s="4" t="s">
        <v>38</v>
      </c>
      <c r="AK50" s="16">
        <f>AE46+AK41</f>
        <v>111.78468744019187</v>
      </c>
    </row>
    <row r="51" spans="2:37" x14ac:dyDescent="0.4">
      <c r="C51" s="1"/>
      <c r="D51">
        <f>固定モーメント法!D51</f>
        <v>0.99</v>
      </c>
      <c r="K51" s="1"/>
      <c r="L51">
        <f>固定モーメント法!L51</f>
        <v>0.99</v>
      </c>
      <c r="S51" s="1"/>
      <c r="T51">
        <f>固定モーメント法!T51</f>
        <v>0.99</v>
      </c>
      <c r="AA51" s="1"/>
      <c r="AB51">
        <f>固定モーメント法!AB51</f>
        <v>0.99</v>
      </c>
      <c r="AI51" s="1"/>
      <c r="AJ51">
        <f>固定モーメント法!AJ51</f>
        <v>0.99</v>
      </c>
    </row>
    <row r="52" spans="2:37" ht="19.5" thickBot="1" x14ac:dyDescent="0.45">
      <c r="C52" s="1"/>
      <c r="D52" s="8"/>
      <c r="E52" s="2"/>
      <c r="F52" s="2" t="s">
        <v>28</v>
      </c>
      <c r="G52" s="2">
        <f>固定モーメント法!G52</f>
        <v>1</v>
      </c>
      <c r="H52" s="18">
        <f>(K54+K50)/(G52+O52)*G52</f>
        <v>241.92156419155057</v>
      </c>
      <c r="I52" s="2"/>
      <c r="J52" s="2"/>
      <c r="K52" s="9"/>
      <c r="L52" s="8"/>
      <c r="M52" s="2"/>
      <c r="N52" s="2" t="s">
        <v>28</v>
      </c>
      <c r="O52" s="2">
        <f>固定モーメント法!O52</f>
        <v>0.99</v>
      </c>
      <c r="P52" s="18">
        <f>(S54+S50)/(O52+W52)*O52</f>
        <v>240.31615048839268</v>
      </c>
      <c r="Q52" s="2"/>
      <c r="R52" s="2"/>
      <c r="S52" s="9"/>
      <c r="T52" s="8"/>
      <c r="U52" s="2"/>
      <c r="V52" s="2" t="s">
        <v>28</v>
      </c>
      <c r="W52" s="2">
        <f>固定モーメント法!W52</f>
        <v>0.99</v>
      </c>
      <c r="X52" s="18">
        <f>(AA54+AA50)/(W52+AE52)*W52</f>
        <v>239.502348549635</v>
      </c>
      <c r="Y52" s="2"/>
      <c r="Z52" s="2"/>
      <c r="AA52" s="9"/>
      <c r="AB52" s="8"/>
      <c r="AC52" s="2"/>
      <c r="AD52" s="2" t="s">
        <v>28</v>
      </c>
      <c r="AE52" s="2">
        <f>固定モーメント法!AE52</f>
        <v>1</v>
      </c>
      <c r="AF52" s="18">
        <f>(AI54+AI50)/(AE52+AM52)*AE52</f>
        <v>305.29057715742249</v>
      </c>
      <c r="AG52" s="2"/>
      <c r="AH52" s="2"/>
      <c r="AI52" s="9"/>
      <c r="AK52" s="20"/>
    </row>
    <row r="53" spans="2:37" x14ac:dyDescent="0.4">
      <c r="B53" s="3"/>
      <c r="C53" s="5"/>
      <c r="D53" s="6"/>
      <c r="E53" s="7"/>
      <c r="F53" s="18">
        <f>C54+C50</f>
        <v>273.63244112568555</v>
      </c>
      <c r="H53" s="26" t="s">
        <v>29</v>
      </c>
      <c r="J53" s="3"/>
      <c r="K53" s="5"/>
      <c r="L53" s="6"/>
      <c r="M53" s="7"/>
      <c r="N53" s="18">
        <f>(K54+K50)/(G52+O52)*O52</f>
        <v>239.50234854963506</v>
      </c>
      <c r="P53" s="26" t="s">
        <v>29</v>
      </c>
      <c r="R53" s="3"/>
      <c r="S53" s="10"/>
      <c r="T53" s="6"/>
      <c r="U53" s="7"/>
      <c r="V53" s="18">
        <f>(S54+S50)/(O52+W52)*W52</f>
        <v>240.31615048839268</v>
      </c>
      <c r="X53" s="26" t="s">
        <v>29</v>
      </c>
      <c r="Z53" s="3"/>
      <c r="AA53" s="10"/>
      <c r="AB53" s="6"/>
      <c r="AC53" s="7"/>
      <c r="AD53" s="18">
        <f>(AA54+AA50)/(W52+AE52)*AE52</f>
        <v>241.92156419155052</v>
      </c>
      <c r="AF53" s="26" t="s">
        <v>29</v>
      </c>
      <c r="AH53" s="3"/>
      <c r="AI53" s="10"/>
      <c r="AJ53" s="4"/>
      <c r="AK53" s="7"/>
    </row>
    <row r="54" spans="2:37" x14ac:dyDescent="0.4">
      <c r="B54" s="3" t="s">
        <v>26</v>
      </c>
      <c r="C54" s="25">
        <f>C55*$AF$6*(1-E54)</f>
        <v>137.18525613752658</v>
      </c>
      <c r="D54" s="4" t="s">
        <v>25</v>
      </c>
      <c r="E54" s="15">
        <f>SUM(E55:E58)</f>
        <v>0.67500000000000004</v>
      </c>
      <c r="G54" t="s">
        <v>36</v>
      </c>
      <c r="H54" s="18"/>
      <c r="J54" s="3" t="s">
        <v>26</v>
      </c>
      <c r="K54" s="25">
        <f>K55*$AF$6*(1-M54)</f>
        <v>236.5431830702064</v>
      </c>
      <c r="L54" s="4" t="s">
        <v>25</v>
      </c>
      <c r="M54" s="15">
        <f>SUM(M55:M58)</f>
        <v>0.60000000000000009</v>
      </c>
      <c r="N54" s="30"/>
      <c r="O54" t="s">
        <v>36</v>
      </c>
      <c r="P54" s="18"/>
      <c r="R54" s="3" t="s">
        <v>26</v>
      </c>
      <c r="S54" s="25">
        <f>S55*$AF$6*(1-U54)</f>
        <v>236.36684952105989</v>
      </c>
      <c r="T54" s="4" t="s">
        <v>25</v>
      </c>
      <c r="U54" s="15">
        <f>SUM(U55:U58)</f>
        <v>0.60000000000000009</v>
      </c>
      <c r="V54" s="30"/>
      <c r="W54" t="s">
        <v>36</v>
      </c>
      <c r="X54" s="18"/>
      <c r="Z54" s="3" t="s">
        <v>26</v>
      </c>
      <c r="AA54" s="25">
        <f>AA55*$AF$6*(1-AC54)</f>
        <v>236.5431830702064</v>
      </c>
      <c r="AB54" s="4" t="s">
        <v>25</v>
      </c>
      <c r="AC54" s="15">
        <f>SUM(AC55:AC58)</f>
        <v>0.60000000000000009</v>
      </c>
      <c r="AD54" s="30"/>
      <c r="AE54" t="s">
        <v>36</v>
      </c>
      <c r="AF54" s="18"/>
      <c r="AH54" s="3" t="s">
        <v>26</v>
      </c>
      <c r="AI54" s="25">
        <f>AI55*$AF$6*(1-AK54)</f>
        <v>168.84339216926347</v>
      </c>
      <c r="AJ54" s="4" t="s">
        <v>25</v>
      </c>
      <c r="AK54" s="15">
        <f>SUM(AK55:AK58)</f>
        <v>0.60000000000000009</v>
      </c>
    </row>
    <row r="55" spans="2:37" x14ac:dyDescent="0.4">
      <c r="B55" s="3" t="s">
        <v>18</v>
      </c>
      <c r="C55" s="13">
        <f>$AE$6/($C58+$K58+$S58+$AA58+$AI58)/2*C58</f>
        <v>102.95328790808752</v>
      </c>
      <c r="D55" s="4" t="s">
        <v>21</v>
      </c>
      <c r="E55" s="23">
        <v>0.625</v>
      </c>
      <c r="G55" s="34">
        <f>(F53+H52)/G63</f>
        <v>91.410284630715637</v>
      </c>
      <c r="J55" s="3" t="s">
        <v>18</v>
      </c>
      <c r="K55" s="13">
        <f>$AE$6/($C58+$K58+$S58+$AA58+$AI58)/2*K58</f>
        <v>144.23364821354053</v>
      </c>
      <c r="L55" s="4" t="s">
        <v>21</v>
      </c>
      <c r="M55" s="23">
        <v>0.55000000000000004</v>
      </c>
      <c r="N55" s="28"/>
      <c r="O55" s="34">
        <f>(N53+P52)/O63</f>
        <v>84.178684041759254</v>
      </c>
      <c r="R55" s="3" t="s">
        <v>18</v>
      </c>
      <c r="S55" s="13">
        <f>$AE$6/($C58+$K58+$S58+$AA58+$AI58)/2*S58</f>
        <v>144.12612775674387</v>
      </c>
      <c r="T55" s="4" t="s">
        <v>21</v>
      </c>
      <c r="U55" s="23">
        <v>0.55000000000000004</v>
      </c>
      <c r="V55" s="28"/>
      <c r="W55" s="34">
        <f>(V53+X52)/W63</f>
        <v>84.17868404175924</v>
      </c>
      <c r="Z55" s="3" t="s">
        <v>18</v>
      </c>
      <c r="AA55" s="13">
        <f>$AE$6/($C58+$K58+$S58+$AA58+$AI58)/2*AA58</f>
        <v>144.23364821354053</v>
      </c>
      <c r="AB55" s="4" t="s">
        <v>21</v>
      </c>
      <c r="AC55" s="23">
        <v>0.55000000000000004</v>
      </c>
      <c r="AD55" s="28"/>
      <c r="AE55" s="34">
        <f>(AD53+AF52)/AE63</f>
        <v>97.023429317193802</v>
      </c>
      <c r="AH55" s="3" t="s">
        <v>18</v>
      </c>
      <c r="AI55" s="13">
        <f>$AE$6/($C58+$K58+$S58+$AA58+$AI58)/2*AI58</f>
        <v>102.95328790808752</v>
      </c>
      <c r="AJ55" s="4" t="s">
        <v>21</v>
      </c>
      <c r="AK55" s="23">
        <v>0.55000000000000004</v>
      </c>
    </row>
    <row r="56" spans="2:37" x14ac:dyDescent="0.4">
      <c r="B56" s="3" t="s">
        <v>14</v>
      </c>
      <c r="C56" s="11">
        <f>(G52+G61)/2/D60</f>
        <v>1.4875368533905118</v>
      </c>
      <c r="D56" s="4" t="s">
        <v>22</v>
      </c>
      <c r="E56" s="47">
        <v>0.05</v>
      </c>
      <c r="J56" s="3" t="s">
        <v>14</v>
      </c>
      <c r="K56" s="11">
        <f>(O52+G52+G61+O61)/2/L60</f>
        <v>2.9695792012865181</v>
      </c>
      <c r="L56" s="4" t="s">
        <v>22</v>
      </c>
      <c r="M56" s="47">
        <v>0.05</v>
      </c>
      <c r="N56" s="29"/>
      <c r="R56" s="3" t="s">
        <v>14</v>
      </c>
      <c r="S56" s="11">
        <f>(W52+O52+O61+W61)/2/T60</f>
        <v>2.9640846957920126</v>
      </c>
      <c r="T56" s="4" t="s">
        <v>22</v>
      </c>
      <c r="U56" s="47">
        <v>0.05</v>
      </c>
      <c r="V56" s="29"/>
      <c r="Z56" s="3" t="s">
        <v>14</v>
      </c>
      <c r="AA56" s="11">
        <f>(AE52+W52+W61+AE61)/2/AB60</f>
        <v>2.9695792012865181</v>
      </c>
      <c r="AB56" s="4" t="s">
        <v>22</v>
      </c>
      <c r="AC56" s="47">
        <v>0.05</v>
      </c>
      <c r="AD56" s="29"/>
      <c r="AH56" s="3" t="s">
        <v>13</v>
      </c>
      <c r="AI56" s="11">
        <f>(AE52+AE61)/2/AJ60</f>
        <v>1.4875368533905118</v>
      </c>
      <c r="AJ56" s="4" t="s">
        <v>22</v>
      </c>
      <c r="AK56" s="24">
        <v>0.05</v>
      </c>
    </row>
    <row r="57" spans="2:37" x14ac:dyDescent="0.4">
      <c r="B57" s="3" t="s">
        <v>16</v>
      </c>
      <c r="C57" s="11">
        <f>C56/(2+C56)</f>
        <v>0.42652935751613896</v>
      </c>
      <c r="D57" s="4" t="s">
        <v>23</v>
      </c>
      <c r="E57" s="24">
        <v>0</v>
      </c>
      <c r="J57" s="3" t="s">
        <v>16</v>
      </c>
      <c r="K57" s="11">
        <f>K56/(2+K56)</f>
        <v>0.59755143866461724</v>
      </c>
      <c r="L57" s="4" t="s">
        <v>23</v>
      </c>
      <c r="M57" s="24">
        <v>0</v>
      </c>
      <c r="N57" s="29"/>
      <c r="R57" s="3" t="s">
        <v>16</v>
      </c>
      <c r="S57" s="11">
        <f>S56/(2+S56)</f>
        <v>0.59710598779763513</v>
      </c>
      <c r="T57" s="4" t="s">
        <v>23</v>
      </c>
      <c r="U57" s="24">
        <v>0</v>
      </c>
      <c r="V57" s="29"/>
      <c r="Z57" s="3" t="s">
        <v>16</v>
      </c>
      <c r="AA57" s="11">
        <f>AA56/(2+AA56)</f>
        <v>0.59755143866461724</v>
      </c>
      <c r="AB57" s="4" t="s">
        <v>23</v>
      </c>
      <c r="AC57" s="24">
        <v>0</v>
      </c>
      <c r="AD57" s="29"/>
      <c r="AH57" s="3" t="s">
        <v>16</v>
      </c>
      <c r="AI57" s="11">
        <f>AI56/(2+AI56)</f>
        <v>0.42652935751613896</v>
      </c>
      <c r="AJ57" s="4" t="s">
        <v>23</v>
      </c>
      <c r="AK57" s="24">
        <v>0</v>
      </c>
    </row>
    <row r="58" spans="2:37" x14ac:dyDescent="0.4">
      <c r="B58" s="3" t="s">
        <v>17</v>
      </c>
      <c r="C58" s="11">
        <f>C57*D60</f>
        <v>0.38814171533968644</v>
      </c>
      <c r="D58" s="4" t="s">
        <v>24</v>
      </c>
      <c r="E58" s="24">
        <v>0</v>
      </c>
      <c r="J58" s="3" t="s">
        <v>17</v>
      </c>
      <c r="K58" s="11">
        <f>K57*L60</f>
        <v>0.54377180918480172</v>
      </c>
      <c r="L58" s="4" t="s">
        <v>24</v>
      </c>
      <c r="M58" s="24">
        <v>0</v>
      </c>
      <c r="N58" s="29"/>
      <c r="R58" s="3" t="s">
        <v>17</v>
      </c>
      <c r="S58" s="11">
        <f>S57*T60</f>
        <v>0.54336644889584795</v>
      </c>
      <c r="T58" s="4" t="s">
        <v>24</v>
      </c>
      <c r="U58" s="24">
        <v>0</v>
      </c>
      <c r="V58" s="29"/>
      <c r="Z58" s="3" t="s">
        <v>17</v>
      </c>
      <c r="AA58" s="11">
        <f>AA57*AB60</f>
        <v>0.54377180918480172</v>
      </c>
      <c r="AB58" s="4" t="s">
        <v>24</v>
      </c>
      <c r="AC58" s="24">
        <v>0</v>
      </c>
      <c r="AD58" s="29"/>
      <c r="AH58" s="3" t="s">
        <v>17</v>
      </c>
      <c r="AI58" s="11">
        <f>AI57*AJ60</f>
        <v>0.38814171533968644</v>
      </c>
      <c r="AJ58" s="4" t="s">
        <v>24</v>
      </c>
      <c r="AK58" s="24">
        <v>0</v>
      </c>
    </row>
    <row r="59" spans="2:37" x14ac:dyDescent="0.4">
      <c r="B59" s="3" t="s">
        <v>27</v>
      </c>
      <c r="C59" s="25">
        <f>C55*$AF$6*E54</f>
        <v>284.92322428563216</v>
      </c>
      <c r="D59" s="4" t="s">
        <v>38</v>
      </c>
      <c r="E59" s="16">
        <f>G55+E50</f>
        <v>203.19497207090754</v>
      </c>
      <c r="J59" s="3" t="s">
        <v>27</v>
      </c>
      <c r="K59" s="25">
        <f>K55*$AF$6*M54</f>
        <v>354.81477460530971</v>
      </c>
      <c r="L59" s="4" t="s">
        <v>38</v>
      </c>
      <c r="M59" s="16">
        <f>O55+M50-G55</f>
        <v>-21.794461652727591</v>
      </c>
      <c r="N59" s="29"/>
      <c r="R59" s="3" t="s">
        <v>27</v>
      </c>
      <c r="S59" s="25">
        <f>S55*$AF$6*U54</f>
        <v>354.55027428158996</v>
      </c>
      <c r="T59" s="4" t="s">
        <v>38</v>
      </c>
      <c r="U59" s="16">
        <f>W55+U50-O55</f>
        <v>0</v>
      </c>
      <c r="V59" s="29"/>
      <c r="Z59" s="3" t="s">
        <v>27</v>
      </c>
      <c r="AA59" s="25">
        <f>AA55*$AF$6*AC54</f>
        <v>354.81477460530971</v>
      </c>
      <c r="AB59" s="4" t="s">
        <v>38</v>
      </c>
      <c r="AC59" s="16">
        <f>AE55+AC50-W55</f>
        <v>27.40760633920577</v>
      </c>
      <c r="AD59" s="29"/>
      <c r="AH59" s="3" t="s">
        <v>27</v>
      </c>
      <c r="AI59" s="25">
        <f>AI55*$AF$6*AK54</f>
        <v>253.2650882538953</v>
      </c>
      <c r="AJ59" s="4" t="s">
        <v>38</v>
      </c>
      <c r="AK59" s="16">
        <f>AE55+AK50</f>
        <v>208.80811675738568</v>
      </c>
    </row>
    <row r="60" spans="2:37" x14ac:dyDescent="0.4">
      <c r="C60" s="1"/>
      <c r="D60">
        <f>固定モーメント法!D60</f>
        <v>0.91</v>
      </c>
      <c r="K60" s="1"/>
      <c r="L60">
        <f>固定モーメント法!L60</f>
        <v>0.91</v>
      </c>
      <c r="S60" s="1"/>
      <c r="T60">
        <f>固定モーメント法!T60</f>
        <v>0.91</v>
      </c>
      <c r="AA60" s="1"/>
      <c r="AB60">
        <f>固定モーメント法!AB60</f>
        <v>0.91</v>
      </c>
      <c r="AI60" s="1"/>
      <c r="AJ60">
        <f>固定モーメント法!AJ60</f>
        <v>0.91</v>
      </c>
    </row>
    <row r="61" spans="2:37" x14ac:dyDescent="0.4">
      <c r="C61" s="1"/>
      <c r="G61" s="40">
        <f>基礎梁成と変形関係!E6/10^5</f>
        <v>1.7073170731707317</v>
      </c>
      <c r="K61" s="1"/>
      <c r="O61" s="40">
        <f>基礎梁成と変形関係!E6/10^5</f>
        <v>1.7073170731707317</v>
      </c>
      <c r="P61" s="40"/>
      <c r="Q61" s="40"/>
      <c r="R61" s="40"/>
      <c r="S61" s="46"/>
      <c r="T61" s="40"/>
      <c r="U61" s="40"/>
      <c r="V61" s="40"/>
      <c r="W61" s="40">
        <f>基礎梁成と変形関係!E6/10^5</f>
        <v>1.7073170731707317</v>
      </c>
      <c r="X61" s="40"/>
      <c r="Y61" s="40"/>
      <c r="Z61" s="40"/>
      <c r="AA61" s="46"/>
      <c r="AB61" s="40"/>
      <c r="AC61" s="40"/>
      <c r="AD61" s="40"/>
      <c r="AE61" s="40">
        <f>基礎梁成と変形関係!E6/10^5</f>
        <v>1.7073170731707317</v>
      </c>
      <c r="AF61" s="40"/>
      <c r="AI61" s="1"/>
    </row>
    <row r="62" spans="2:37" x14ac:dyDescent="0.4">
      <c r="D62" s="18"/>
      <c r="L62" s="18"/>
      <c r="T62" s="18"/>
      <c r="AB62" s="18"/>
      <c r="AJ62" s="18"/>
    </row>
    <row r="63" spans="2:37" x14ac:dyDescent="0.4">
      <c r="F63" t="s">
        <v>37</v>
      </c>
      <c r="G63">
        <v>5.64</v>
      </c>
      <c r="N63" t="s">
        <v>37</v>
      </c>
      <c r="O63">
        <v>5.7</v>
      </c>
      <c r="V63" t="s">
        <v>37</v>
      </c>
      <c r="W63">
        <v>5.7</v>
      </c>
      <c r="AD63" t="s">
        <v>37</v>
      </c>
      <c r="AE63">
        <v>5.64</v>
      </c>
    </row>
  </sheetData>
  <mergeCells count="2">
    <mergeCell ref="AG2:AM2"/>
    <mergeCell ref="AG9:AM9"/>
  </mergeCells>
  <phoneticPr fontId="1"/>
  <pageMargins left="0.7" right="0.7" top="0.75" bottom="0.75" header="0.3" footer="0.3"/>
  <pageSetup paperSize="9" scale="26" orientation="landscape" r:id="rId1"/>
  <colBreaks count="1" manualBreakCount="1">
    <brk id="47" max="81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8A878-69E0-4FAB-8678-285EE249BDAC}">
  <dimension ref="B1:AL62"/>
  <sheetViews>
    <sheetView zoomScale="55" zoomScaleNormal="55" workbookViewId="0">
      <selection activeCell="E26" sqref="E26"/>
    </sheetView>
  </sheetViews>
  <sheetFormatPr defaultRowHeight="18.75" x14ac:dyDescent="0.4"/>
  <sheetData>
    <row r="1" spans="2:27" x14ac:dyDescent="0.4">
      <c r="C1" t="s">
        <v>19</v>
      </c>
    </row>
    <row r="3" spans="2:27" ht="19.5" thickBot="1" x14ac:dyDescent="0.45">
      <c r="D3" s="2"/>
      <c r="E3" s="2"/>
      <c r="F3" s="2"/>
      <c r="G3" s="21">
        <v>3.19</v>
      </c>
      <c r="H3" s="2"/>
      <c r="I3" s="2"/>
      <c r="J3" s="2"/>
      <c r="K3" s="2"/>
      <c r="R3" s="2"/>
      <c r="S3" s="2"/>
      <c r="T3" s="2"/>
      <c r="U3" s="21">
        <v>2.5499999999999998</v>
      </c>
      <c r="V3" s="2"/>
      <c r="W3" s="2"/>
      <c r="X3" s="2"/>
      <c r="Y3" s="2"/>
    </row>
    <row r="4" spans="2:27" x14ac:dyDescent="0.4">
      <c r="B4" s="3"/>
      <c r="C4" s="5" t="s">
        <v>0</v>
      </c>
      <c r="D4" s="6"/>
      <c r="E4" s="7" t="s">
        <v>1</v>
      </c>
      <c r="G4" t="s">
        <v>7</v>
      </c>
      <c r="H4">
        <v>734</v>
      </c>
      <c r="J4" s="3"/>
      <c r="K4" s="10" t="s">
        <v>0</v>
      </c>
      <c r="L4" s="4"/>
      <c r="M4" s="3" t="s">
        <v>1</v>
      </c>
      <c r="P4" s="3"/>
      <c r="Q4" s="5" t="s">
        <v>0</v>
      </c>
      <c r="R4" s="6"/>
      <c r="S4" s="7" t="s">
        <v>1</v>
      </c>
      <c r="U4" t="s">
        <v>7</v>
      </c>
      <c r="V4">
        <v>496</v>
      </c>
      <c r="X4" s="3"/>
      <c r="Y4" s="10" t="s">
        <v>0</v>
      </c>
      <c r="Z4" s="4"/>
      <c r="AA4" s="3" t="s">
        <v>1</v>
      </c>
    </row>
    <row r="5" spans="2:27" x14ac:dyDescent="0.4">
      <c r="B5" s="3" t="s">
        <v>2</v>
      </c>
      <c r="C5" s="11">
        <f>D11/(G3+D11)</f>
        <v>0.24047619047619045</v>
      </c>
      <c r="D5" s="4"/>
      <c r="E5" s="15">
        <f>G3/(G3+D11)</f>
        <v>0.75952380952380949</v>
      </c>
      <c r="H5" s="18">
        <f>H4-AVERAGE(ABS(E10),ABS(M10))</f>
        <v>533.98513161430276</v>
      </c>
      <c r="J5" s="3" t="s">
        <v>2</v>
      </c>
      <c r="K5" s="11">
        <f>L11/(G3+L11)</f>
        <v>0.24047619047619045</v>
      </c>
      <c r="L5" s="4"/>
      <c r="M5" s="15">
        <f>G3/(G3+L11)</f>
        <v>0.75952380952380949</v>
      </c>
      <c r="P5" s="3" t="s">
        <v>2</v>
      </c>
      <c r="Q5" s="11">
        <f>R11/(U3+R11)</f>
        <v>0.28370786516853935</v>
      </c>
      <c r="R5" s="4"/>
      <c r="S5" s="15">
        <f>U3/(U3+R11)</f>
        <v>0.7162921348314607</v>
      </c>
      <c r="V5" s="18">
        <f>V4-AVERAGE(ABS(S10),ABS(AA10))</f>
        <v>342.38398298062879</v>
      </c>
      <c r="X5" s="3" t="s">
        <v>2</v>
      </c>
      <c r="Y5" s="11">
        <f>Z11/(U3+Z11)</f>
        <v>0.28370786516853935</v>
      </c>
      <c r="Z5" s="4"/>
      <c r="AA5" s="15">
        <f>U3/(U3+Z11)</f>
        <v>0.7162921348314607</v>
      </c>
    </row>
    <row r="6" spans="2:27" x14ac:dyDescent="0.4">
      <c r="B6" s="3" t="s">
        <v>3</v>
      </c>
      <c r="C6" s="5">
        <v>0</v>
      </c>
      <c r="D6" s="4"/>
      <c r="E6" s="3">
        <v>-489</v>
      </c>
      <c r="G6" t="s">
        <v>80</v>
      </c>
      <c r="H6">
        <v>147</v>
      </c>
      <c r="J6" s="3" t="s">
        <v>3</v>
      </c>
      <c r="K6" s="5">
        <v>0</v>
      </c>
      <c r="L6" s="4">
        <v>0</v>
      </c>
      <c r="M6" s="3">
        <v>489</v>
      </c>
      <c r="P6" s="3" t="s">
        <v>3</v>
      </c>
      <c r="Q6" s="5">
        <v>0</v>
      </c>
      <c r="R6" s="4"/>
      <c r="S6" s="3">
        <v>-331</v>
      </c>
      <c r="U6" t="s">
        <v>80</v>
      </c>
      <c r="V6">
        <v>218</v>
      </c>
      <c r="X6" s="3" t="s">
        <v>3</v>
      </c>
      <c r="Y6" s="5">
        <v>0</v>
      </c>
      <c r="Z6" s="4">
        <v>0</v>
      </c>
      <c r="AA6" s="3">
        <v>331</v>
      </c>
    </row>
    <row r="7" spans="2:27" x14ac:dyDescent="0.4">
      <c r="B7" s="3" t="s">
        <v>4</v>
      </c>
      <c r="C7" s="13">
        <f>E6*C5*-1</f>
        <v>117.59285714285713</v>
      </c>
      <c r="D7" s="14"/>
      <c r="E7" s="16">
        <f>E6*E5*-1</f>
        <v>371.40714285714284</v>
      </c>
      <c r="G7" t="s">
        <v>56</v>
      </c>
      <c r="H7">
        <f>H6-(E10+M10)/13.48</f>
        <v>147</v>
      </c>
      <c r="J7" s="3" t="s">
        <v>4</v>
      </c>
      <c r="K7" s="13">
        <f>M6*K5*-1</f>
        <v>-117.59285714285713</v>
      </c>
      <c r="L7" s="14"/>
      <c r="M7" s="16">
        <f>M6*M5*-1</f>
        <v>-371.40714285714284</v>
      </c>
      <c r="P7" s="3" t="s">
        <v>4</v>
      </c>
      <c r="Q7" s="13">
        <f>S6*Q5*-1</f>
        <v>93.907303370786522</v>
      </c>
      <c r="R7" s="14"/>
      <c r="S7" s="16">
        <f>S6*S5*-1</f>
        <v>237.09269662921349</v>
      </c>
      <c r="U7" t="s">
        <v>56</v>
      </c>
      <c r="V7">
        <f>V6-(S10+AA10)/13.48</f>
        <v>218</v>
      </c>
      <c r="X7" s="3" t="s">
        <v>4</v>
      </c>
      <c r="Y7" s="13">
        <f>AA6*Y5*-1</f>
        <v>-93.907303370786522</v>
      </c>
      <c r="Z7" s="14"/>
      <c r="AA7" s="16">
        <f>AA6*AA5*-1</f>
        <v>-237.09269662921349</v>
      </c>
    </row>
    <row r="8" spans="2:27" x14ac:dyDescent="0.4">
      <c r="B8" s="3" t="s">
        <v>5</v>
      </c>
      <c r="C8" s="13">
        <f>C16/2</f>
        <v>49.721579961464357</v>
      </c>
      <c r="D8" s="4"/>
      <c r="E8" s="16">
        <f>M7/2</f>
        <v>-185.70357142857142</v>
      </c>
      <c r="J8" s="3" t="s">
        <v>5</v>
      </c>
      <c r="K8" s="5">
        <f>K16/2</f>
        <v>-49.721579961464357</v>
      </c>
      <c r="L8" s="4"/>
      <c r="M8" s="16">
        <f>E7/2</f>
        <v>185.70357142857142</v>
      </c>
      <c r="P8" s="3" t="s">
        <v>5</v>
      </c>
      <c r="Q8" s="13">
        <f>Q16/2</f>
        <v>36.40439560439561</v>
      </c>
      <c r="R8" s="4"/>
      <c r="S8" s="16">
        <f>AA7/2</f>
        <v>-118.54634831460675</v>
      </c>
      <c r="X8" s="3" t="s">
        <v>5</v>
      </c>
      <c r="Y8" s="5">
        <f>Y16/2</f>
        <v>-36.40439560439561</v>
      </c>
      <c r="Z8" s="4"/>
      <c r="AA8" s="16">
        <f>S7/2</f>
        <v>118.54634831460675</v>
      </c>
    </row>
    <row r="9" spans="2:27" x14ac:dyDescent="0.4">
      <c r="B9" s="3" t="s">
        <v>6</v>
      </c>
      <c r="C9" s="13">
        <f>(C8+E8)*C5*-1</f>
        <v>32.700431281375742</v>
      </c>
      <c r="D9" s="4"/>
      <c r="E9" s="16">
        <f>(C8+E8)*E5*-1</f>
        <v>103.28156018573131</v>
      </c>
      <c r="J9" s="3" t="s">
        <v>6</v>
      </c>
      <c r="K9" s="13">
        <f>(K8+M8)*K5*-1</f>
        <v>-32.700431281375742</v>
      </c>
      <c r="L9" s="4"/>
      <c r="M9" s="16">
        <f>(K8+M8)*M5*-1</f>
        <v>-103.28156018573131</v>
      </c>
      <c r="P9" s="3" t="s">
        <v>6</v>
      </c>
      <c r="Q9" s="13">
        <f>(Q8+S8)*Q5*-1</f>
        <v>23.30431804418912</v>
      </c>
      <c r="R9" s="4"/>
      <c r="S9" s="16">
        <f>(Q8+S8)*S5*-1</f>
        <v>58.837634666022026</v>
      </c>
      <c r="X9" s="3" t="s">
        <v>6</v>
      </c>
      <c r="Y9" s="13">
        <f>(Y8+AA8)*Y5*-1</f>
        <v>-23.30431804418912</v>
      </c>
      <c r="Z9" s="4"/>
      <c r="AA9" s="16">
        <f>(Y8+AA8)*AA5*-1</f>
        <v>-58.837634666022026</v>
      </c>
    </row>
    <row r="10" spans="2:27" x14ac:dyDescent="0.4">
      <c r="B10" s="3" t="s">
        <v>10</v>
      </c>
      <c r="C10" s="13">
        <f>C6+C7+C8+C9</f>
        <v>200.01486838569724</v>
      </c>
      <c r="D10" s="4"/>
      <c r="E10" s="16">
        <f>E6+E7+E8+E9</f>
        <v>-200.01486838569727</v>
      </c>
      <c r="J10" s="3" t="s">
        <v>10</v>
      </c>
      <c r="K10" s="13">
        <f>K6+K7+K8+K9</f>
        <v>-200.01486838569724</v>
      </c>
      <c r="L10" s="4"/>
      <c r="M10" s="16">
        <f>M6+M7+M8+M9</f>
        <v>200.01486838569727</v>
      </c>
      <c r="P10" s="3" t="s">
        <v>10</v>
      </c>
      <c r="Q10" s="13">
        <f>Q6+Q7+Q8+Q9</f>
        <v>153.61601701937127</v>
      </c>
      <c r="R10" s="4"/>
      <c r="S10" s="16">
        <f>S6+S7+S8+S9</f>
        <v>-153.61601701937121</v>
      </c>
      <c r="X10" s="3" t="s">
        <v>10</v>
      </c>
      <c r="Y10" s="13">
        <f>Y6+Y7+Y8+Y9</f>
        <v>-153.61601701937127</v>
      </c>
      <c r="Z10" s="4"/>
      <c r="AA10" s="16">
        <f>AA6+AA7+AA8+AA9</f>
        <v>153.61601701937121</v>
      </c>
    </row>
    <row r="11" spans="2:27" x14ac:dyDescent="0.4">
      <c r="C11" s="1"/>
      <c r="D11" s="22">
        <v>1.01</v>
      </c>
      <c r="K11" s="1"/>
      <c r="L11" s="22">
        <v>1.01</v>
      </c>
      <c r="Q11" s="1"/>
      <c r="R11" s="22">
        <v>1.01</v>
      </c>
      <c r="Y11" s="1"/>
      <c r="Z11" s="22">
        <v>1.01</v>
      </c>
    </row>
    <row r="12" spans="2:27" ht="19.5" thickBot="1" x14ac:dyDescent="0.45">
      <c r="C12" s="1"/>
      <c r="D12" s="8"/>
      <c r="E12" s="2"/>
      <c r="F12" s="2"/>
      <c r="G12" s="21">
        <v>3.19</v>
      </c>
      <c r="H12" s="2"/>
      <c r="I12" s="2"/>
      <c r="J12" s="2"/>
      <c r="K12" s="9"/>
      <c r="Q12" s="1"/>
      <c r="R12" s="8"/>
      <c r="S12" s="2"/>
      <c r="T12" s="2"/>
      <c r="U12" s="21">
        <v>2.5499999999999998</v>
      </c>
      <c r="V12" s="2"/>
      <c r="W12" s="2"/>
      <c r="X12" s="2"/>
      <c r="Y12" s="9"/>
    </row>
    <row r="13" spans="2:27" x14ac:dyDescent="0.4">
      <c r="B13" s="3"/>
      <c r="C13" s="5" t="s">
        <v>8</v>
      </c>
      <c r="D13" s="6" t="s">
        <v>9</v>
      </c>
      <c r="E13" s="7" t="s">
        <v>1</v>
      </c>
      <c r="G13" t="s">
        <v>7</v>
      </c>
      <c r="H13">
        <v>764</v>
      </c>
      <c r="J13" s="3"/>
      <c r="K13" s="10" t="s">
        <v>8</v>
      </c>
      <c r="L13" s="4" t="s">
        <v>9</v>
      </c>
      <c r="M13" s="3" t="s">
        <v>1</v>
      </c>
      <c r="P13" s="3"/>
      <c r="Q13" s="5" t="s">
        <v>8</v>
      </c>
      <c r="R13" s="6" t="s">
        <v>9</v>
      </c>
      <c r="S13" s="7" t="s">
        <v>1</v>
      </c>
      <c r="U13" t="s">
        <v>7</v>
      </c>
      <c r="V13">
        <v>491</v>
      </c>
      <c r="X13" s="3"/>
      <c r="Y13" s="10" t="s">
        <v>8</v>
      </c>
      <c r="Z13" s="4" t="s">
        <v>9</v>
      </c>
      <c r="AA13" s="3" t="s">
        <v>1</v>
      </c>
    </row>
    <row r="14" spans="2:27" x14ac:dyDescent="0.4">
      <c r="B14" s="3" t="s">
        <v>2</v>
      </c>
      <c r="C14" s="11">
        <f>D11/(D11+D20+G12)</f>
        <v>0.19460500963391139</v>
      </c>
      <c r="D14" s="12">
        <f>D20/(D11+D20+G12)</f>
        <v>0.19075144508670522</v>
      </c>
      <c r="E14" s="15">
        <f>G12/(D11+D20+G12)</f>
        <v>0.61464354527938347</v>
      </c>
      <c r="H14" s="18">
        <f>H13-AVERAGE(ABS(E19),ABS(M19))</f>
        <v>439.88267617591009</v>
      </c>
      <c r="J14" s="3" t="s">
        <v>2</v>
      </c>
      <c r="K14" s="11">
        <f>L11/(L11+L20+G12)</f>
        <v>0.19460500963391139</v>
      </c>
      <c r="L14" s="12">
        <f>L20/(L11+L20+G12)</f>
        <v>0.19075144508670522</v>
      </c>
      <c r="M14" s="15">
        <f>G12/(L11+L20+G12)</f>
        <v>0.61464354527938347</v>
      </c>
      <c r="P14" s="3" t="s">
        <v>2</v>
      </c>
      <c r="Q14" s="11">
        <f>R11/(R11+R20+U12)</f>
        <v>0.22197802197802199</v>
      </c>
      <c r="R14" s="12">
        <f>R20/(R11+R20+U12)</f>
        <v>0.21758241758241759</v>
      </c>
      <c r="S14" s="15">
        <f>U12/(R11+R20+U12)</f>
        <v>0.56043956043956045</v>
      </c>
      <c r="V14" s="18">
        <f>V13-AVERAGE(ABS(S19),ABS(AA19))</f>
        <v>259.47369329953909</v>
      </c>
      <c r="X14" s="3" t="s">
        <v>2</v>
      </c>
      <c r="Y14" s="11">
        <f>Z11/(Z11+Z20+U12)</f>
        <v>0.22197802197802199</v>
      </c>
      <c r="Z14" s="12">
        <f>Z20/(Z11+Z20+U12)</f>
        <v>0.21758241758241759</v>
      </c>
      <c r="AA14" s="15">
        <f>U12/(Z11+Z20+U12)</f>
        <v>0.56043956043956045</v>
      </c>
    </row>
    <row r="15" spans="2:27" x14ac:dyDescent="0.4">
      <c r="B15" s="3" t="s">
        <v>3</v>
      </c>
      <c r="C15" s="5">
        <v>0</v>
      </c>
      <c r="D15" s="4">
        <v>0</v>
      </c>
      <c r="E15" s="3">
        <v>-511</v>
      </c>
      <c r="G15" t="s">
        <v>80</v>
      </c>
      <c r="H15">
        <v>146</v>
      </c>
      <c r="J15" s="3" t="s">
        <v>3</v>
      </c>
      <c r="K15" s="5">
        <v>0</v>
      </c>
      <c r="L15" s="4">
        <v>0</v>
      </c>
      <c r="M15" s="3">
        <v>511</v>
      </c>
      <c r="P15" s="3" t="s">
        <v>3</v>
      </c>
      <c r="Q15" s="5">
        <v>0</v>
      </c>
      <c r="R15" s="4">
        <v>0</v>
      </c>
      <c r="S15" s="3">
        <v>-328</v>
      </c>
      <c r="U15" t="s">
        <v>80</v>
      </c>
      <c r="V15">
        <v>228</v>
      </c>
      <c r="X15" s="3" t="s">
        <v>3</v>
      </c>
      <c r="Y15" s="5">
        <v>0</v>
      </c>
      <c r="Z15" s="4">
        <v>0</v>
      </c>
      <c r="AA15" s="3">
        <v>328</v>
      </c>
    </row>
    <row r="16" spans="2:27" x14ac:dyDescent="0.4">
      <c r="B16" s="3" t="s">
        <v>4</v>
      </c>
      <c r="C16" s="13">
        <f>E15*C14*-1</f>
        <v>99.443159922928714</v>
      </c>
      <c r="D16" s="14">
        <f>E15*D14*-1</f>
        <v>97.473988439306368</v>
      </c>
      <c r="E16" s="16">
        <f>E15*E14*-1</f>
        <v>314.08285163776497</v>
      </c>
      <c r="G16" t="s">
        <v>56</v>
      </c>
      <c r="H16">
        <f>H15-(E19+M19)/13.48</f>
        <v>146</v>
      </c>
      <c r="J16" s="3" t="s">
        <v>4</v>
      </c>
      <c r="K16" s="13">
        <f>M15*K14*-1</f>
        <v>-99.443159922928714</v>
      </c>
      <c r="L16" s="17">
        <f>M15*L14*-1</f>
        <v>-97.473988439306368</v>
      </c>
      <c r="M16" s="14">
        <f>M15*M14*-1</f>
        <v>-314.08285163776497</v>
      </c>
      <c r="P16" s="3" t="s">
        <v>4</v>
      </c>
      <c r="Q16" s="13">
        <f>S15*Q14*-1</f>
        <v>72.80879120879122</v>
      </c>
      <c r="R16" s="14">
        <f>S15*R14*-1</f>
        <v>71.367032967032969</v>
      </c>
      <c r="S16" s="16">
        <f>S15*S14*-1</f>
        <v>183.82417582417582</v>
      </c>
      <c r="U16" t="s">
        <v>56</v>
      </c>
      <c r="V16">
        <f>V15-(S19+AA19)/13.48</f>
        <v>228</v>
      </c>
      <c r="X16" s="3" t="s">
        <v>4</v>
      </c>
      <c r="Y16" s="13">
        <f>AA15*Y14*-1</f>
        <v>-72.80879120879122</v>
      </c>
      <c r="Z16" s="17">
        <f>AA15*Z14*-1</f>
        <v>-71.367032967032969</v>
      </c>
      <c r="AA16" s="14">
        <f>AA15*AA14*-1</f>
        <v>-183.82417582417582</v>
      </c>
    </row>
    <row r="17" spans="2:27" x14ac:dyDescent="0.4">
      <c r="B17" s="3" t="s">
        <v>5</v>
      </c>
      <c r="C17" s="13">
        <f>C7/2</f>
        <v>58.796428571428564</v>
      </c>
      <c r="D17" s="14">
        <f>C25/2</f>
        <v>49.694499017681729</v>
      </c>
      <c r="E17" s="16">
        <f>M16/2</f>
        <v>-157.04142581888249</v>
      </c>
      <c r="J17" s="3" t="s">
        <v>5</v>
      </c>
      <c r="K17" s="13">
        <f>K7/2</f>
        <v>-58.796428571428564</v>
      </c>
      <c r="L17" s="14">
        <f>K25/2</f>
        <v>-49.694499017681729</v>
      </c>
      <c r="M17" s="16">
        <f>E16/2</f>
        <v>157.04142581888249</v>
      </c>
      <c r="P17" s="3" t="s">
        <v>5</v>
      </c>
      <c r="Q17" s="13">
        <f>Q7/2</f>
        <v>46.953651685393261</v>
      </c>
      <c r="R17" s="14">
        <f>Q25/2</f>
        <v>36.819101123595509</v>
      </c>
      <c r="S17" s="16">
        <f>AA16/2</f>
        <v>-91.912087912087912</v>
      </c>
      <c r="X17" s="3" t="s">
        <v>5</v>
      </c>
      <c r="Y17" s="13">
        <f>Y7/2</f>
        <v>-46.953651685393261</v>
      </c>
      <c r="Z17" s="14">
        <f>Y25/2</f>
        <v>-36.819101123595509</v>
      </c>
      <c r="AA17" s="16">
        <f>S16/2</f>
        <v>91.912087912087912</v>
      </c>
    </row>
    <row r="18" spans="2:27" x14ac:dyDescent="0.4">
      <c r="B18" s="3" t="s">
        <v>6</v>
      </c>
      <c r="C18" s="13">
        <f>(C17++D17+E17)*C14*-1</f>
        <v>9.4481701757360153</v>
      </c>
      <c r="D18" s="14">
        <f>(C17++D17+E17)*D14*-1</f>
        <v>9.2610776970085684</v>
      </c>
      <c r="E18" s="16">
        <f>(C17++D17+E17)*E14*-1</f>
        <v>29.841250357027608</v>
      </c>
      <c r="J18" s="3" t="s">
        <v>6</v>
      </c>
      <c r="K18" s="13">
        <f>(K17++L17+M17)*K14*-1</f>
        <v>-9.4481701757360153</v>
      </c>
      <c r="L18" s="14">
        <f>(K17++L17+M17)*L14*-1</f>
        <v>-9.2610776970085684</v>
      </c>
      <c r="M18" s="16">
        <f>(K17++L17+M17)*M14*-1</f>
        <v>-29.841250357027608</v>
      </c>
      <c r="P18" s="3" t="s">
        <v>6</v>
      </c>
      <c r="Q18" s="13">
        <f>(Q17++R17+S17)*Q14*-1</f>
        <v>1.8067535064022273</v>
      </c>
      <c r="R18" s="14">
        <f>(Q17++R17+S17)*R14*-1</f>
        <v>1.7709762092457475</v>
      </c>
      <c r="S18" s="16">
        <f>(Q17++R17+S17)*S14*-1</f>
        <v>4.5616053874511682</v>
      </c>
      <c r="X18" s="3" t="s">
        <v>6</v>
      </c>
      <c r="Y18" s="13">
        <f>(Y17++Z17+AA17)*Y14*-1</f>
        <v>-1.8067535064022273</v>
      </c>
      <c r="Z18" s="14">
        <f>(Y17++Z17+AA17)*Z14*-1</f>
        <v>-1.7709762092457475</v>
      </c>
      <c r="AA18" s="16">
        <f>(Y17++Z17+AA17)*AA14*-1</f>
        <v>-4.5616053874511682</v>
      </c>
    </row>
    <row r="19" spans="2:27" x14ac:dyDescent="0.4">
      <c r="B19" s="3" t="s">
        <v>10</v>
      </c>
      <c r="C19" s="13">
        <f>C15+C16+C17+C18</f>
        <v>167.6877586700933</v>
      </c>
      <c r="D19" s="14">
        <f t="shared" ref="D19" si="0">D15+D16+D17+D18</f>
        <v>156.42956515399666</v>
      </c>
      <c r="E19" s="16">
        <f>E15+E16+E17+E18</f>
        <v>-324.11732382408991</v>
      </c>
      <c r="J19" s="3" t="s">
        <v>10</v>
      </c>
      <c r="K19" s="13">
        <f>K15+K16+K17+K18</f>
        <v>-167.6877586700933</v>
      </c>
      <c r="L19" s="14">
        <f t="shared" ref="L19" si="1">L15+L16+L17+L18</f>
        <v>-156.42956515399666</v>
      </c>
      <c r="M19" s="16">
        <f>M15+M16+M17+M18</f>
        <v>324.11732382408991</v>
      </c>
      <c r="P19" s="3" t="s">
        <v>10</v>
      </c>
      <c r="Q19" s="13">
        <f>Q15+Q16+Q17+Q18</f>
        <v>121.56919640058672</v>
      </c>
      <c r="R19" s="14">
        <f t="shared" ref="R19" si="2">R15+R16+R17+R18</f>
        <v>109.95711029987423</v>
      </c>
      <c r="S19" s="16">
        <f>S15+S16+S17+S18</f>
        <v>-231.52630670046091</v>
      </c>
      <c r="X19" s="3" t="s">
        <v>10</v>
      </c>
      <c r="Y19" s="13">
        <f>Y15+Y16+Y17+Y18</f>
        <v>-121.56919640058672</v>
      </c>
      <c r="Z19" s="14">
        <f t="shared" ref="Z19" si="3">Z15+Z16+Z17+Z18</f>
        <v>-109.95711029987423</v>
      </c>
      <c r="AA19" s="16">
        <f>AA15+AA16+AA17+AA18</f>
        <v>231.52630670046091</v>
      </c>
    </row>
    <row r="20" spans="2:27" x14ac:dyDescent="0.4">
      <c r="C20" s="1"/>
      <c r="D20" s="22">
        <v>0.99</v>
      </c>
      <c r="K20" s="1"/>
      <c r="L20" s="22">
        <v>0.99</v>
      </c>
      <c r="Q20" s="1"/>
      <c r="R20" s="22">
        <v>0.99</v>
      </c>
      <c r="Y20" s="1"/>
      <c r="Z20" s="22">
        <v>0.99</v>
      </c>
    </row>
    <row r="21" spans="2:27" ht="19.5" thickBot="1" x14ac:dyDescent="0.45">
      <c r="C21" s="1"/>
      <c r="D21" s="8"/>
      <c r="E21" s="2"/>
      <c r="F21" s="2"/>
      <c r="G21" s="21">
        <v>3.19</v>
      </c>
      <c r="H21" s="2"/>
      <c r="I21" s="2"/>
      <c r="J21" s="2"/>
      <c r="K21" s="9"/>
      <c r="Q21" s="1"/>
      <c r="R21" s="8"/>
      <c r="S21" s="2"/>
      <c r="T21" s="2"/>
      <c r="U21" s="21">
        <v>2.5499999999999998</v>
      </c>
      <c r="V21" s="2"/>
      <c r="W21" s="2"/>
      <c r="X21" s="2"/>
      <c r="Y21" s="9"/>
    </row>
    <row r="22" spans="2:27" x14ac:dyDescent="0.4">
      <c r="B22" s="3"/>
      <c r="C22" s="5" t="s">
        <v>8</v>
      </c>
      <c r="D22" s="6" t="s">
        <v>9</v>
      </c>
      <c r="E22" s="7" t="s">
        <v>1</v>
      </c>
      <c r="G22" t="s">
        <v>7</v>
      </c>
      <c r="H22">
        <v>764</v>
      </c>
      <c r="J22" s="3"/>
      <c r="K22" s="10" t="s">
        <v>8</v>
      </c>
      <c r="L22" s="4" t="s">
        <v>9</v>
      </c>
      <c r="M22" s="3" t="s">
        <v>1</v>
      </c>
      <c r="P22" s="3"/>
      <c r="Q22" s="5" t="s">
        <v>8</v>
      </c>
      <c r="R22" s="6" t="s">
        <v>9</v>
      </c>
      <c r="S22" s="7" t="s">
        <v>1</v>
      </c>
      <c r="U22" t="s">
        <v>7</v>
      </c>
      <c r="V22">
        <v>496</v>
      </c>
      <c r="X22" s="3"/>
      <c r="Y22" s="10" t="s">
        <v>8</v>
      </c>
      <c r="Z22" s="4" t="s">
        <v>9</v>
      </c>
      <c r="AA22" s="3" t="s">
        <v>1</v>
      </c>
    </row>
    <row r="23" spans="2:27" x14ac:dyDescent="0.4">
      <c r="B23" s="3" t="s">
        <v>2</v>
      </c>
      <c r="C23" s="11">
        <f>D20/(D20+D29+G21)</f>
        <v>0.19449901768172889</v>
      </c>
      <c r="D23" s="12">
        <f>D29/(D20+D29+G21)</f>
        <v>0.1787819253438114</v>
      </c>
      <c r="E23" s="15">
        <f>G21/(D20+D29+G21)</f>
        <v>0.62671905697445973</v>
      </c>
      <c r="H23" s="18">
        <f>H22-AVERAGE(ABS(E28),ABS(M28))</f>
        <v>482.93678236366503</v>
      </c>
      <c r="J23" s="3" t="s">
        <v>2</v>
      </c>
      <c r="K23" s="11">
        <f>L20/(L20+L29+G21)</f>
        <v>0.19449901768172889</v>
      </c>
      <c r="L23" s="12">
        <f>L29/(L20+L29+G21)</f>
        <v>0.1787819253438114</v>
      </c>
      <c r="M23" s="15">
        <f>G21/(L20+L29+G21)</f>
        <v>0.62671905697445973</v>
      </c>
      <c r="P23" s="3" t="s">
        <v>2</v>
      </c>
      <c r="Q23" s="11">
        <f>R20/(R20+R29+U21)</f>
        <v>0.22247191011235959</v>
      </c>
      <c r="R23" s="12">
        <f>R29/(R20+R29+U21)</f>
        <v>0.20449438202247194</v>
      </c>
      <c r="S23" s="15">
        <f>U21/(R20+R29+U21)</f>
        <v>0.57303370786516861</v>
      </c>
      <c r="V23" s="18">
        <f>V22-AVERAGE(ABS(S28),ABS(AA28))</f>
        <v>293.73406371434402</v>
      </c>
      <c r="X23" s="3" t="s">
        <v>2</v>
      </c>
      <c r="Y23" s="11">
        <f>Z20/(Z20+Z29+U21)</f>
        <v>0.22247191011235959</v>
      </c>
      <c r="Z23" s="12">
        <f>Z29/(Z20+Z29+U21)</f>
        <v>0.20449438202247194</v>
      </c>
      <c r="AA23" s="15">
        <f>U21/(Z20+Z29+U21)</f>
        <v>0.57303370786516861</v>
      </c>
    </row>
    <row r="24" spans="2:27" x14ac:dyDescent="0.4">
      <c r="B24" s="3" t="s">
        <v>3</v>
      </c>
      <c r="C24" s="5">
        <v>0</v>
      </c>
      <c r="D24" s="4">
        <v>0</v>
      </c>
      <c r="E24" s="3">
        <v>-511</v>
      </c>
      <c r="G24" t="s">
        <v>80</v>
      </c>
      <c r="H24">
        <v>147</v>
      </c>
      <c r="J24" s="3" t="s">
        <v>3</v>
      </c>
      <c r="K24" s="5">
        <v>0</v>
      </c>
      <c r="L24" s="4">
        <v>0</v>
      </c>
      <c r="M24" s="3">
        <v>511</v>
      </c>
      <c r="P24" s="3" t="s">
        <v>3</v>
      </c>
      <c r="Q24" s="5">
        <v>0</v>
      </c>
      <c r="R24" s="4">
        <v>0</v>
      </c>
      <c r="S24" s="3">
        <v>-331</v>
      </c>
      <c r="U24" t="s">
        <v>80</v>
      </c>
      <c r="V24">
        <v>228</v>
      </c>
      <c r="X24" s="3" t="s">
        <v>3</v>
      </c>
      <c r="Y24" s="5">
        <v>0</v>
      </c>
      <c r="Z24" s="4">
        <v>0</v>
      </c>
      <c r="AA24" s="3">
        <v>331</v>
      </c>
    </row>
    <row r="25" spans="2:27" x14ac:dyDescent="0.4">
      <c r="B25" s="3" t="s">
        <v>4</v>
      </c>
      <c r="C25" s="13">
        <f>E24*C23*-1</f>
        <v>99.388998035363457</v>
      </c>
      <c r="D25" s="14">
        <f>E24*D23*-1</f>
        <v>91.357563850687626</v>
      </c>
      <c r="E25" s="16">
        <f>E24*E23*-1</f>
        <v>320.2534381139489</v>
      </c>
      <c r="G25" t="s">
        <v>56</v>
      </c>
      <c r="H25">
        <f>H24-(E28+M28)/13.48</f>
        <v>147</v>
      </c>
      <c r="J25" s="3" t="s">
        <v>4</v>
      </c>
      <c r="K25" s="13">
        <f>M24*K23*-1</f>
        <v>-99.388998035363457</v>
      </c>
      <c r="L25" s="17">
        <f>M24*L23*-1</f>
        <v>-91.357563850687626</v>
      </c>
      <c r="M25" s="14">
        <f>M24*M23*-1</f>
        <v>-320.2534381139489</v>
      </c>
      <c r="P25" s="3" t="s">
        <v>4</v>
      </c>
      <c r="Q25" s="13">
        <f>S24*Q23*-1</f>
        <v>73.638202247191018</v>
      </c>
      <c r="R25" s="14">
        <f>S24*R23*-1</f>
        <v>67.68764044943822</v>
      </c>
      <c r="S25" s="16">
        <f>S24*S23*-1</f>
        <v>189.67415730337081</v>
      </c>
      <c r="U25" t="s">
        <v>56</v>
      </c>
      <c r="V25">
        <f>V24-(S28+AA28)/13.48</f>
        <v>228</v>
      </c>
      <c r="X25" s="3" t="s">
        <v>4</v>
      </c>
      <c r="Y25" s="13">
        <f>AA24*Y23*-1</f>
        <v>-73.638202247191018</v>
      </c>
      <c r="Z25" s="17">
        <f>AA24*Z23*-1</f>
        <v>-67.68764044943822</v>
      </c>
      <c r="AA25" s="14">
        <f>AA24*AA23*-1</f>
        <v>-189.67415730337081</v>
      </c>
    </row>
    <row r="26" spans="2:27" x14ac:dyDescent="0.4">
      <c r="B26" s="3" t="s">
        <v>5</v>
      </c>
      <c r="C26" s="13">
        <f>D16/2</f>
        <v>48.736994219653184</v>
      </c>
      <c r="D26" s="4">
        <v>0</v>
      </c>
      <c r="E26" s="16">
        <f>M25/2</f>
        <v>-160.12671905697445</v>
      </c>
      <c r="J26" s="3" t="s">
        <v>5</v>
      </c>
      <c r="K26" s="13">
        <f>L16/2</f>
        <v>-48.736994219653184</v>
      </c>
      <c r="L26" s="4">
        <v>0</v>
      </c>
      <c r="M26" s="16">
        <f>E25/2</f>
        <v>160.12671905697445</v>
      </c>
      <c r="P26" s="3" t="s">
        <v>5</v>
      </c>
      <c r="Q26" s="13">
        <f>R16/2</f>
        <v>35.683516483516485</v>
      </c>
      <c r="R26" s="4">
        <v>0</v>
      </c>
      <c r="S26" s="16">
        <f>AA25/2</f>
        <v>-94.837078651685403</v>
      </c>
      <c r="X26" s="3" t="s">
        <v>5</v>
      </c>
      <c r="Y26" s="13">
        <f>Z16/2</f>
        <v>-35.683516483516485</v>
      </c>
      <c r="Z26" s="4">
        <v>0</v>
      </c>
      <c r="AA26" s="16">
        <f>S25/2</f>
        <v>94.837078651685403</v>
      </c>
    </row>
    <row r="27" spans="2:27" x14ac:dyDescent="0.4">
      <c r="B27" s="3" t="s">
        <v>6</v>
      </c>
      <c r="C27" s="13">
        <f>(C26++D26+E26)*C23*-1</f>
        <v>21.665192060697066</v>
      </c>
      <c r="D27" s="14">
        <f>(C26++D26+E26)*D23*-1</f>
        <v>19.914469469933668</v>
      </c>
      <c r="E27" s="16">
        <f>(C26++D26+E26)*E23*-1</f>
        <v>69.810063306690537</v>
      </c>
      <c r="J27" s="3" t="s">
        <v>6</v>
      </c>
      <c r="K27" s="13">
        <f>(K26++L26+M26)*K23*-1</f>
        <v>-21.665192060697066</v>
      </c>
      <c r="L27" s="14">
        <f>(K26++L26+M26)*L23*-1</f>
        <v>-19.914469469933668</v>
      </c>
      <c r="M27" s="16">
        <f>(K26++L26+M26)*M23*-1</f>
        <v>-69.810063306690537</v>
      </c>
      <c r="P27" s="3" t="s">
        <v>6</v>
      </c>
      <c r="Q27" s="13">
        <f>(Q26++R26+S26)*Q23*-1</f>
        <v>13.16000596550275</v>
      </c>
      <c r="R27" s="14">
        <f>(Q26++R26+S26)*R23*-1</f>
        <v>12.096571140007578</v>
      </c>
      <c r="S27" s="16">
        <f>(Q26++R26+S26)*S23*-1</f>
        <v>33.896985062658601</v>
      </c>
      <c r="X27" s="3" t="s">
        <v>6</v>
      </c>
      <c r="Y27" s="13">
        <f>(Y26++Z26+AA26)*Y23*-1</f>
        <v>-13.16000596550275</v>
      </c>
      <c r="Z27" s="14">
        <f>(Y26++Z26+AA26)*Z23*-1</f>
        <v>-12.096571140007578</v>
      </c>
      <c r="AA27" s="16">
        <f>(Y26++Z26+AA26)*AA23*-1</f>
        <v>-33.896985062658601</v>
      </c>
    </row>
    <row r="28" spans="2:27" x14ac:dyDescent="0.4">
      <c r="B28" s="3" t="s">
        <v>10</v>
      </c>
      <c r="C28" s="13">
        <f>C24+C25+C26+C27</f>
        <v>169.79118431571368</v>
      </c>
      <c r="D28" s="14">
        <f t="shared" ref="D28" si="4">D24+D25+D26+D27</f>
        <v>111.27203332062129</v>
      </c>
      <c r="E28" s="16">
        <f>E24+E25+E26+E27</f>
        <v>-281.06321763633497</v>
      </c>
      <c r="J28" s="3" t="s">
        <v>10</v>
      </c>
      <c r="K28" s="13">
        <f>K24+K25+K26+K27</f>
        <v>-169.79118431571368</v>
      </c>
      <c r="L28" s="14">
        <f t="shared" ref="L28" si="5">L24+L25+L26+L27</f>
        <v>-111.27203332062129</v>
      </c>
      <c r="M28" s="16">
        <f>M24+M25+M26+M27</f>
        <v>281.06321763633497</v>
      </c>
      <c r="P28" s="3" t="s">
        <v>10</v>
      </c>
      <c r="Q28" s="13">
        <f>Q24+Q25+Q26+Q27</f>
        <v>122.48172469621025</v>
      </c>
      <c r="R28" s="14">
        <f t="shared" ref="R28" si="6">R24+R25+R26+R27</f>
        <v>79.784211589445803</v>
      </c>
      <c r="S28" s="16">
        <f>S24+S25+S26+S27</f>
        <v>-202.26593628565598</v>
      </c>
      <c r="X28" s="3" t="s">
        <v>10</v>
      </c>
      <c r="Y28" s="13">
        <f>Y24+Y25+Y26+Y27</f>
        <v>-122.48172469621025</v>
      </c>
      <c r="Z28" s="14">
        <f t="shared" ref="Z28" si="7">Z24+Z25+Z26+Z27</f>
        <v>-79.784211589445803</v>
      </c>
      <c r="AA28" s="16">
        <f>AA24+AA25+AA26+AA27</f>
        <v>202.26593628565598</v>
      </c>
    </row>
    <row r="29" spans="2:27" x14ac:dyDescent="0.4">
      <c r="C29" s="1"/>
      <c r="D29" s="22">
        <v>0.91</v>
      </c>
      <c r="K29" s="1"/>
      <c r="L29" s="22">
        <v>0.91</v>
      </c>
      <c r="Q29" s="1"/>
      <c r="R29" s="22">
        <v>0.91</v>
      </c>
      <c r="Y29" s="1"/>
      <c r="Z29" s="22">
        <v>0.91</v>
      </c>
    </row>
    <row r="30" spans="2:27" x14ac:dyDescent="0.4">
      <c r="C30" s="1"/>
      <c r="K30" s="1"/>
      <c r="Q30" s="1"/>
      <c r="Y30" s="1"/>
    </row>
    <row r="31" spans="2:27" x14ac:dyDescent="0.4">
      <c r="D31" s="18">
        <f>D28/2</f>
        <v>55.636016660310645</v>
      </c>
      <c r="L31" s="18">
        <f>L28/2</f>
        <v>-55.636016660310645</v>
      </c>
      <c r="R31" s="18">
        <f>R28/2</f>
        <v>39.892105794722902</v>
      </c>
      <c r="Z31" s="18">
        <f>Z28/2</f>
        <v>-39.892105794722902</v>
      </c>
    </row>
    <row r="34" spans="2:38" ht="19.5" thickBot="1" x14ac:dyDescent="0.45">
      <c r="D34" s="2"/>
      <c r="E34" s="2"/>
      <c r="F34" s="2"/>
      <c r="G34" s="21">
        <v>1</v>
      </c>
      <c r="H34" s="2"/>
      <c r="I34" s="2"/>
      <c r="J34" s="2"/>
      <c r="K34" s="2"/>
      <c r="L34" s="2"/>
      <c r="M34" s="2"/>
      <c r="N34" s="2"/>
      <c r="O34" s="21">
        <v>0.99</v>
      </c>
      <c r="P34" s="2"/>
      <c r="Q34" s="2"/>
      <c r="R34" s="2"/>
      <c r="T34" s="2"/>
      <c r="U34" s="2"/>
      <c r="V34" s="2"/>
      <c r="W34" s="21">
        <v>0.99</v>
      </c>
      <c r="X34" s="2"/>
      <c r="Y34" s="2"/>
      <c r="Z34" s="2"/>
      <c r="AB34" s="2"/>
      <c r="AC34" s="2"/>
      <c r="AD34" s="2"/>
      <c r="AE34" s="21">
        <v>1</v>
      </c>
      <c r="AF34" s="2"/>
      <c r="AG34" s="2"/>
      <c r="AH34" s="2"/>
      <c r="AI34" s="2"/>
    </row>
    <row r="35" spans="2:38" x14ac:dyDescent="0.4">
      <c r="B35" s="3"/>
      <c r="C35" s="5" t="s">
        <v>0</v>
      </c>
      <c r="D35" s="6"/>
      <c r="E35" s="7" t="s">
        <v>12</v>
      </c>
      <c r="G35" t="s">
        <v>7</v>
      </c>
      <c r="H35">
        <v>53.7</v>
      </c>
      <c r="J35" s="3"/>
      <c r="K35" s="10" t="s">
        <v>9</v>
      </c>
      <c r="L35" s="6" t="s">
        <v>0</v>
      </c>
      <c r="M35" s="7" t="s">
        <v>11</v>
      </c>
      <c r="N35" s="7" t="s">
        <v>12</v>
      </c>
      <c r="O35" t="s">
        <v>7</v>
      </c>
      <c r="P35">
        <v>54.9</v>
      </c>
      <c r="R35" s="7"/>
      <c r="S35" s="10" t="s">
        <v>9</v>
      </c>
      <c r="T35" s="6" t="s">
        <v>0</v>
      </c>
      <c r="U35" s="7" t="s">
        <v>11</v>
      </c>
      <c r="V35" s="7" t="s">
        <v>12</v>
      </c>
      <c r="W35" t="s">
        <v>7</v>
      </c>
      <c r="X35">
        <v>54.9</v>
      </c>
      <c r="Z35" s="7"/>
      <c r="AA35" s="10" t="s">
        <v>0</v>
      </c>
      <c r="AB35" s="6" t="s">
        <v>0</v>
      </c>
      <c r="AC35" s="7" t="s">
        <v>11</v>
      </c>
      <c r="AD35" s="7" t="s">
        <v>12</v>
      </c>
      <c r="AE35" t="s">
        <v>7</v>
      </c>
      <c r="AF35">
        <v>53.7</v>
      </c>
      <c r="AH35" s="3"/>
      <c r="AI35" s="10" t="s">
        <v>0</v>
      </c>
      <c r="AJ35" s="4"/>
      <c r="AK35" s="3" t="s">
        <v>32</v>
      </c>
      <c r="AL35" s="28"/>
    </row>
    <row r="36" spans="2:38" x14ac:dyDescent="0.4">
      <c r="B36" s="3" t="s">
        <v>2</v>
      </c>
      <c r="C36" s="11">
        <f>D42/(G34+D42)</f>
        <v>0.50248756218905477</v>
      </c>
      <c r="D36" s="4"/>
      <c r="E36" s="15">
        <f>G34/(G34+D42)</f>
        <v>0.49751243781094534</v>
      </c>
      <c r="H36" s="18">
        <f>H35-AVERAGE(ABS(E41),ABS(M41))</f>
        <v>22.32193356525643</v>
      </c>
      <c r="J36" s="3" t="s">
        <v>2</v>
      </c>
      <c r="K36" s="11">
        <f>L42/(G34+L42+O34)</f>
        <v>0.33666666666666667</v>
      </c>
      <c r="L36" s="4"/>
      <c r="M36" s="15">
        <f>G34/(G34+L42+O34)</f>
        <v>0.33333333333333331</v>
      </c>
      <c r="N36" s="15">
        <f>O34/(G34+L42+O34)</f>
        <v>0.33</v>
      </c>
      <c r="P36" s="18">
        <f>P35-AVERAGE(ABS(M41),ABS(U41))</f>
        <v>15.548605378985989</v>
      </c>
      <c r="R36" s="3" t="s">
        <v>2</v>
      </c>
      <c r="S36" s="11">
        <f>T42/(O34+T42+W34)</f>
        <v>0.33779264214046822</v>
      </c>
      <c r="T36" s="4"/>
      <c r="U36" s="15">
        <f>O34/(O34+T42+W34)</f>
        <v>0.33110367892976583</v>
      </c>
      <c r="V36" s="15">
        <f>W34/(O34+T42+W34)</f>
        <v>0.33110367892976583</v>
      </c>
      <c r="X36" s="18">
        <f>X35-AVERAGE(ABS(U41),ABS(AC41))</f>
        <v>16.879444317127366</v>
      </c>
      <c r="Z36" s="3" t="s">
        <v>2</v>
      </c>
      <c r="AA36" s="11">
        <f>AB42/(W34+AB42+AE34)</f>
        <v>0.33666666666666667</v>
      </c>
      <c r="AB36" s="4"/>
      <c r="AC36" s="15">
        <f>W34/(W34+AB42+AE34)</f>
        <v>0.33</v>
      </c>
      <c r="AD36" s="15">
        <f>AE34/(W34+AB42+AE34)</f>
        <v>0.33333333333333331</v>
      </c>
      <c r="AF36" s="18">
        <f>AF35-AVERAGE(ABS(AC41),ABS(AK41))</f>
        <v>23.65243751168968</v>
      </c>
      <c r="AH36" s="3" t="s">
        <v>2</v>
      </c>
      <c r="AI36" s="11">
        <f>AJ42/(AE34+AJ42)</f>
        <v>0.50248756218905477</v>
      </c>
      <c r="AJ36" s="4"/>
      <c r="AK36" s="15">
        <f>AE34/(AE34+AJ42)</f>
        <v>0.49751243781094534</v>
      </c>
      <c r="AL36" s="30"/>
    </row>
    <row r="37" spans="2:38" x14ac:dyDescent="0.4">
      <c r="B37" s="3" t="s">
        <v>3</v>
      </c>
      <c r="C37" s="5">
        <v>0</v>
      </c>
      <c r="D37" s="4"/>
      <c r="E37" s="3">
        <v>-35.799999999999997</v>
      </c>
      <c r="G37" t="s">
        <v>80</v>
      </c>
      <c r="H37">
        <v>38</v>
      </c>
      <c r="J37" s="3" t="s">
        <v>3</v>
      </c>
      <c r="K37" s="5">
        <v>0</v>
      </c>
      <c r="L37" s="4"/>
      <c r="M37" s="3">
        <f>E37*-1</f>
        <v>35.799999999999997</v>
      </c>
      <c r="N37" s="3">
        <v>-36.6</v>
      </c>
      <c r="O37" t="s">
        <v>80</v>
      </c>
      <c r="P37">
        <v>39</v>
      </c>
      <c r="R37" s="3" t="s">
        <v>3</v>
      </c>
      <c r="S37" s="5">
        <v>0</v>
      </c>
      <c r="T37" s="4">
        <v>0</v>
      </c>
      <c r="U37" s="3">
        <f>N37*-1</f>
        <v>36.6</v>
      </c>
      <c r="V37" s="3">
        <v>-36.6</v>
      </c>
      <c r="Z37" s="3" t="s">
        <v>3</v>
      </c>
      <c r="AA37" s="5">
        <v>0</v>
      </c>
      <c r="AB37" s="4">
        <v>0</v>
      </c>
      <c r="AC37" s="3">
        <v>36.6</v>
      </c>
      <c r="AD37" s="3">
        <v>-35.799999999999997</v>
      </c>
      <c r="AH37" s="3" t="s">
        <v>3</v>
      </c>
      <c r="AI37" s="5">
        <v>0</v>
      </c>
      <c r="AJ37" s="4">
        <v>0</v>
      </c>
      <c r="AK37" s="3">
        <v>35.799999999999997</v>
      </c>
      <c r="AL37" s="28"/>
    </row>
    <row r="38" spans="2:38" x14ac:dyDescent="0.4">
      <c r="B38" s="3" t="s">
        <v>4</v>
      </c>
      <c r="C38" s="13">
        <f>E37*C36*-1</f>
        <v>17.98905472636816</v>
      </c>
      <c r="D38" s="14"/>
      <c r="E38" s="16">
        <f>E37*E36*-1</f>
        <v>17.810945273631841</v>
      </c>
      <c r="G38" t="s">
        <v>81</v>
      </c>
      <c r="H38" s="18">
        <f>H37-(E41+M41)/5.64</f>
        <v>34.244031579601767</v>
      </c>
      <c r="J38" s="3" t="s">
        <v>4</v>
      </c>
      <c r="K38" s="11">
        <f>SUM(K37:N37)*K36*-1</f>
        <v>0.26933333333333476</v>
      </c>
      <c r="L38" s="14"/>
      <c r="M38" s="16">
        <f>SUM(K37:N37)*M36*-1</f>
        <v>0.26666666666666805</v>
      </c>
      <c r="N38" s="16">
        <f>SUM(K37:N37)*N36*-1</f>
        <v>0.2640000000000014</v>
      </c>
      <c r="O38" t="s">
        <v>81</v>
      </c>
      <c r="P38" s="18">
        <f>P37-(N41+U41)/5.7</f>
        <v>39.451811867056563</v>
      </c>
      <c r="R38" s="3" t="s">
        <v>4</v>
      </c>
      <c r="S38" s="13">
        <f>SUM(S37:V37)*S36*-1</f>
        <v>0</v>
      </c>
      <c r="T38" s="14"/>
      <c r="U38" s="16">
        <f>SUM(S37:V37)*U36*-1</f>
        <v>0</v>
      </c>
      <c r="V38" s="16">
        <f>SUM(S37:V37)*V36*-1</f>
        <v>0</v>
      </c>
      <c r="Z38" s="3" t="s">
        <v>4</v>
      </c>
      <c r="AA38" s="11">
        <f>SUM(AA37:AD37)*AA36*-1</f>
        <v>-0.26933333333333476</v>
      </c>
      <c r="AB38" s="14"/>
      <c r="AC38" s="16">
        <f>SUM(AA37:AD37)*AC36*-1</f>
        <v>-0.2640000000000014</v>
      </c>
      <c r="AD38" s="16">
        <f>SUM(AA37:AD37)*AD36*-1</f>
        <v>-0.26666666666666805</v>
      </c>
      <c r="AH38" s="3" t="s">
        <v>4</v>
      </c>
      <c r="AI38" s="13">
        <f>SUM(AI37:AL37)*AI36*-1</f>
        <v>-17.98905472636816</v>
      </c>
      <c r="AJ38" s="14"/>
      <c r="AK38" s="16">
        <f>SUM(AI37:AL37)*AK36*-1</f>
        <v>-17.810945273631841</v>
      </c>
      <c r="AL38" s="29"/>
    </row>
    <row r="39" spans="2:38" x14ac:dyDescent="0.4">
      <c r="B39" s="3" t="s">
        <v>5</v>
      </c>
      <c r="C39" s="13">
        <f>C47/2</f>
        <v>5.7570000000000006</v>
      </c>
      <c r="D39" s="4"/>
      <c r="E39" s="16">
        <f>M38/2</f>
        <v>0.13333333333333403</v>
      </c>
      <c r="G39" t="s">
        <v>82</v>
      </c>
      <c r="H39" s="18">
        <f>H37+(E41+M41)/5.64</f>
        <v>41.755968420398233</v>
      </c>
      <c r="J39" s="3" t="s">
        <v>5</v>
      </c>
      <c r="K39" s="11">
        <f>K47/2</f>
        <v>0.10125313283207983</v>
      </c>
      <c r="L39" s="4"/>
      <c r="M39" s="16">
        <f>E38/2</f>
        <v>8.9054726368159205</v>
      </c>
      <c r="N39" s="16">
        <f>U38/2</f>
        <v>0</v>
      </c>
      <c r="O39" t="s">
        <v>82</v>
      </c>
      <c r="P39" s="18">
        <f>P37+(N41+U41)/5.7</f>
        <v>38.548188132943437</v>
      </c>
      <c r="R39" s="3" t="s">
        <v>5</v>
      </c>
      <c r="S39" s="5">
        <f>S47/2</f>
        <v>0</v>
      </c>
      <c r="T39" s="4"/>
      <c r="U39" s="16">
        <f>M38/2</f>
        <v>0.13333333333333403</v>
      </c>
      <c r="V39" s="16">
        <f>AC38/2</f>
        <v>-0.1320000000000007</v>
      </c>
      <c r="Z39" s="3" t="s">
        <v>5</v>
      </c>
      <c r="AA39" s="11">
        <f>AA47/2</f>
        <v>-0.10125313283207983</v>
      </c>
      <c r="AB39" s="4"/>
      <c r="AC39" s="15">
        <f>U38/2</f>
        <v>0</v>
      </c>
      <c r="AD39" s="15">
        <f>AK38/2</f>
        <v>-8.9054726368159205</v>
      </c>
      <c r="AH39" s="3" t="s">
        <v>5</v>
      </c>
      <c r="AI39" s="5">
        <f>AI47/2</f>
        <v>-5.7570000000000006</v>
      </c>
      <c r="AJ39" s="4"/>
      <c r="AK39" s="16">
        <f>AC38/2</f>
        <v>-0.1320000000000007</v>
      </c>
      <c r="AL39" s="29"/>
    </row>
    <row r="40" spans="2:38" x14ac:dyDescent="0.4">
      <c r="B40" s="3" t="s">
        <v>6</v>
      </c>
      <c r="C40" s="13">
        <f>(C39+E39)*C36*-1</f>
        <v>-2.9598192371475962</v>
      </c>
      <c r="D40" s="4"/>
      <c r="E40" s="16">
        <f>(C39+E39)*E36*-1</f>
        <v>-2.930514096185739</v>
      </c>
      <c r="H40" s="18"/>
      <c r="J40" s="3" t="s">
        <v>6</v>
      </c>
      <c r="K40" s="13">
        <f>SUM(K39:N39)*K36*-1</f>
        <v>-3.0322643424481601</v>
      </c>
      <c r="L40" s="4"/>
      <c r="M40" s="16">
        <f>(K39+M39+N39)*M36*-1</f>
        <v>-3.0022419232159998</v>
      </c>
      <c r="N40" s="16">
        <f>SUM(K39:N39)*N36*-1</f>
        <v>-2.9722195039838399</v>
      </c>
      <c r="R40" s="3" t="s">
        <v>6</v>
      </c>
      <c r="S40" s="13">
        <f>SUM(S39:V39)*S36*-1</f>
        <v>-4.5039018952062158E-4</v>
      </c>
      <c r="T40" s="4"/>
      <c r="U40" s="16">
        <f>(S39+U39+V39)*U36*-1</f>
        <v>-4.4147157190635179E-4</v>
      </c>
      <c r="V40" s="16">
        <f>SUM(S39:V39)*V36*-1</f>
        <v>-4.4147157190635179E-4</v>
      </c>
      <c r="Z40" s="3" t="s">
        <v>6</v>
      </c>
      <c r="AA40" s="11">
        <f>SUM(AA39:AD39)*AA36*-1</f>
        <v>3.0322643424481601</v>
      </c>
      <c r="AB40" s="4"/>
      <c r="AC40" s="16">
        <f>(AA39+AC39+AD39)*AC36*-1</f>
        <v>2.9722195039838399</v>
      </c>
      <c r="AD40" s="16">
        <f>SUM(AA39:AD39)*AD36*-1</f>
        <v>3.0022419232159998</v>
      </c>
      <c r="AH40" s="3" t="s">
        <v>6</v>
      </c>
      <c r="AI40" s="13">
        <f>(AI39+AK39)*AI36*-1</f>
        <v>2.959149253731344</v>
      </c>
      <c r="AJ40" s="4"/>
      <c r="AK40" s="16">
        <f>(AI39+AK39)*AK36*-1</f>
        <v>2.9298507462686576</v>
      </c>
      <c r="AL40" s="29"/>
    </row>
    <row r="41" spans="2:38" x14ac:dyDescent="0.4">
      <c r="B41" s="3" t="s">
        <v>10</v>
      </c>
      <c r="C41" s="13">
        <f>C37+C38+C39+C40</f>
        <v>20.786235489220566</v>
      </c>
      <c r="D41" s="4"/>
      <c r="E41" s="16">
        <f>E37+E38+E39+E40</f>
        <v>-20.786235489220562</v>
      </c>
      <c r="J41" s="3" t="s">
        <v>10</v>
      </c>
      <c r="K41" s="13">
        <f>K37+K38+K39+K40</f>
        <v>-2.6616778762827455</v>
      </c>
      <c r="L41" s="4"/>
      <c r="M41" s="16">
        <f>M37+M38+M39+M40</f>
        <v>41.969897380266588</v>
      </c>
      <c r="N41" s="16">
        <f>N37+N38+N39+N40</f>
        <v>-39.308219503983835</v>
      </c>
      <c r="R41" s="3" t="s">
        <v>10</v>
      </c>
      <c r="S41" s="31">
        <f>S37+S38+S39+S40</f>
        <v>-4.5039018952062158E-4</v>
      </c>
      <c r="T41" s="33"/>
      <c r="U41" s="32">
        <f>U37+U38+U39+U40</f>
        <v>36.732891861761431</v>
      </c>
      <c r="V41" s="32">
        <f>V37+V38+V39+V40</f>
        <v>-36.732441471571903</v>
      </c>
      <c r="Z41" s="3" t="s">
        <v>10</v>
      </c>
      <c r="AA41" s="11">
        <f>AA37+AA38+AA39+AA40</f>
        <v>2.6616778762827455</v>
      </c>
      <c r="AB41" s="4"/>
      <c r="AC41" s="32">
        <f>AC37+AC38+AC39+AC40</f>
        <v>39.308219503983835</v>
      </c>
      <c r="AD41" s="32">
        <f>AD37+AD38+AD39+AD40</f>
        <v>-41.969897380266588</v>
      </c>
      <c r="AH41" s="3" t="s">
        <v>10</v>
      </c>
      <c r="AI41" s="13">
        <f>AI37+AI38+AI39+AI40</f>
        <v>-20.786905472636818</v>
      </c>
      <c r="AJ41" s="4"/>
      <c r="AK41" s="16">
        <f>AK37+AK38+AK39+AK40</f>
        <v>20.786905472636811</v>
      </c>
      <c r="AL41" s="29"/>
    </row>
    <row r="42" spans="2:38" x14ac:dyDescent="0.4">
      <c r="C42" s="1"/>
      <c r="D42" s="22">
        <v>1.01</v>
      </c>
      <c r="K42" s="1"/>
      <c r="L42" s="22">
        <v>1.01</v>
      </c>
      <c r="S42" s="1"/>
      <c r="T42" s="22">
        <v>1.01</v>
      </c>
      <c r="AA42" s="1"/>
      <c r="AB42" s="22">
        <v>1.01</v>
      </c>
      <c r="AI42" s="1"/>
      <c r="AJ42" s="22">
        <v>1.01</v>
      </c>
    </row>
    <row r="43" spans="2:38" ht="19.5" thickBot="1" x14ac:dyDescent="0.45">
      <c r="C43" s="1"/>
      <c r="D43" s="8"/>
      <c r="E43" s="2"/>
      <c r="F43" s="2"/>
      <c r="G43" s="21">
        <v>1</v>
      </c>
      <c r="H43" s="2"/>
      <c r="I43" s="2"/>
      <c r="J43" s="2"/>
      <c r="K43" s="9"/>
      <c r="L43" s="8"/>
      <c r="M43" s="2"/>
      <c r="N43" s="2"/>
      <c r="O43" s="21">
        <v>0.99</v>
      </c>
      <c r="P43" s="2"/>
      <c r="Q43" s="2"/>
      <c r="R43" s="2"/>
      <c r="S43" s="9"/>
      <c r="T43" s="8"/>
      <c r="U43" s="2"/>
      <c r="V43" s="2"/>
      <c r="W43" s="21">
        <v>0.99</v>
      </c>
      <c r="X43" s="2"/>
      <c r="Y43" s="2"/>
      <c r="Z43" s="2"/>
      <c r="AA43" s="9"/>
      <c r="AB43" s="8"/>
      <c r="AC43" s="2"/>
      <c r="AD43" s="2"/>
      <c r="AE43" s="21">
        <v>1</v>
      </c>
      <c r="AF43" s="2"/>
      <c r="AG43" s="2"/>
      <c r="AH43" s="2"/>
      <c r="AI43" s="9"/>
    </row>
    <row r="44" spans="2:38" x14ac:dyDescent="0.4">
      <c r="B44" s="3"/>
      <c r="C44" s="5" t="s">
        <v>8</v>
      </c>
      <c r="D44" s="6" t="s">
        <v>9</v>
      </c>
      <c r="E44" s="7" t="s">
        <v>1</v>
      </c>
      <c r="G44" t="s">
        <v>7</v>
      </c>
      <c r="H44">
        <v>51.3</v>
      </c>
      <c r="J44" s="3"/>
      <c r="K44" s="10" t="s">
        <v>8</v>
      </c>
      <c r="L44" s="6" t="s">
        <v>9</v>
      </c>
      <c r="M44" s="7" t="s">
        <v>11</v>
      </c>
      <c r="N44" s="7" t="s">
        <v>12</v>
      </c>
      <c r="O44" t="s">
        <v>7</v>
      </c>
      <c r="P44">
        <v>52.4</v>
      </c>
      <c r="R44" s="3"/>
      <c r="S44" s="10" t="s">
        <v>8</v>
      </c>
      <c r="T44" s="6" t="s">
        <v>9</v>
      </c>
      <c r="U44" s="7" t="s">
        <v>11</v>
      </c>
      <c r="V44" s="7" t="s">
        <v>12</v>
      </c>
      <c r="W44" t="s">
        <v>7</v>
      </c>
      <c r="X44">
        <v>52.4</v>
      </c>
      <c r="Z44" s="3"/>
      <c r="AA44" s="10" t="s">
        <v>8</v>
      </c>
      <c r="AB44" s="6" t="s">
        <v>9</v>
      </c>
      <c r="AC44" s="7" t="s">
        <v>11</v>
      </c>
      <c r="AD44" s="7" t="s">
        <v>12</v>
      </c>
      <c r="AE44" t="s">
        <v>7</v>
      </c>
      <c r="AF44">
        <v>51.3</v>
      </c>
      <c r="AH44" s="3"/>
      <c r="AI44" s="10" t="s">
        <v>8</v>
      </c>
      <c r="AJ44" s="4" t="s">
        <v>9</v>
      </c>
      <c r="AK44" s="3" t="s">
        <v>1</v>
      </c>
    </row>
    <row r="45" spans="2:38" x14ac:dyDescent="0.4">
      <c r="B45" s="3" t="s">
        <v>2</v>
      </c>
      <c r="C45" s="11">
        <f>D42/(D42+D51+G43)</f>
        <v>0.33666666666666667</v>
      </c>
      <c r="D45" s="12">
        <f>D51/(D42+D51+G43)</f>
        <v>0.33</v>
      </c>
      <c r="E45" s="15">
        <f>G43/(D42+D51+G43)</f>
        <v>0.33333333333333331</v>
      </c>
      <c r="H45" s="18">
        <f>H44-AVERAGE(ABS(E50),ABS(M50))</f>
        <v>18.13640181584298</v>
      </c>
      <c r="J45" s="3" t="s">
        <v>2</v>
      </c>
      <c r="K45" s="11">
        <f>L42/(L42+L51+G43+O43)</f>
        <v>0.25313283208020049</v>
      </c>
      <c r="L45" s="12">
        <f>L51/(L42+L51+G43+O43)</f>
        <v>0.24812030075187969</v>
      </c>
      <c r="M45" s="15">
        <f>G43/(L42+L51+G43+O43)</f>
        <v>0.25062656641604009</v>
      </c>
      <c r="N45" s="15">
        <f>O43/(G43+L51+O43+L42)</f>
        <v>0.24812030075187969</v>
      </c>
      <c r="P45" s="18">
        <f>P44-AVERAGE(ABS(M50),ABS(U50))</f>
        <v>15.542072204469868</v>
      </c>
      <c r="R45" s="3" t="s">
        <v>2</v>
      </c>
      <c r="S45" s="11">
        <f>T42/(T42+T51+O43+W43)</f>
        <v>0.25376884422110552</v>
      </c>
      <c r="T45" s="12">
        <f>T51/(T42+T51+O43+W43)</f>
        <v>0.24874371859296479</v>
      </c>
      <c r="U45" s="15">
        <f>O43/(T42+T51+O43+W43)</f>
        <v>0.24874371859296479</v>
      </c>
      <c r="V45" s="15">
        <f>W43/(O43+T51+W43+T42)</f>
        <v>0.24874371859296485</v>
      </c>
      <c r="X45" s="18">
        <f>X44-AVERAGE(ABS(U50),ABS(AC50))</f>
        <v>16.71434726444199</v>
      </c>
      <c r="Z45" s="3" t="s">
        <v>2</v>
      </c>
      <c r="AA45" s="11">
        <f>AB42/(AB42+AB51+W43+AE43)</f>
        <v>0.25313283208020049</v>
      </c>
      <c r="AB45" s="12">
        <f>AB51/(AB42+AB51+W43+AE43)</f>
        <v>0.24812030075187969</v>
      </c>
      <c r="AC45" s="15">
        <f>W43/(AB42+AB51+W43+AE43)</f>
        <v>0.24812030075187969</v>
      </c>
      <c r="AD45" s="15">
        <f>AE43/(W43+AB51+AE43+AB42)</f>
        <v>0.25062656641604009</v>
      </c>
      <c r="AF45" s="18">
        <f>AF44-AVERAGE(ABS(AC50),ABS(AK50))</f>
        <v>19.308342707059886</v>
      </c>
      <c r="AH45" s="3" t="s">
        <v>2</v>
      </c>
      <c r="AI45" s="11">
        <f>AJ42/(AJ42+AJ51+AE43)</f>
        <v>0.33666666666666667</v>
      </c>
      <c r="AJ45" s="12">
        <f>AJ51/(AJ42+AJ51+AE43)</f>
        <v>0.33</v>
      </c>
      <c r="AK45" s="15">
        <f>AE43/(AJ42+AJ51+AE43)</f>
        <v>0.33333333333333331</v>
      </c>
    </row>
    <row r="46" spans="2:38" x14ac:dyDescent="0.4">
      <c r="B46" s="3" t="s">
        <v>3</v>
      </c>
      <c r="C46" s="5">
        <v>0</v>
      </c>
      <c r="D46" s="4">
        <v>0</v>
      </c>
      <c r="E46" s="3">
        <v>-34.200000000000003</v>
      </c>
      <c r="G46" t="s">
        <v>80</v>
      </c>
      <c r="H46">
        <v>36.5</v>
      </c>
      <c r="J46" s="3" t="s">
        <v>3</v>
      </c>
      <c r="K46" s="5">
        <v>0</v>
      </c>
      <c r="L46" s="4">
        <v>0</v>
      </c>
      <c r="M46" s="3">
        <v>34.200000000000003</v>
      </c>
      <c r="N46" s="3">
        <v>-35</v>
      </c>
      <c r="O46" t="s">
        <v>80</v>
      </c>
      <c r="P46">
        <v>37</v>
      </c>
      <c r="R46" s="3" t="s">
        <v>3</v>
      </c>
      <c r="S46" s="5">
        <v>0</v>
      </c>
      <c r="T46" s="4">
        <v>0</v>
      </c>
      <c r="U46" s="3">
        <v>35</v>
      </c>
      <c r="V46" s="3">
        <v>-35</v>
      </c>
      <c r="Z46" s="3" t="s">
        <v>3</v>
      </c>
      <c r="AA46" s="5">
        <v>0</v>
      </c>
      <c r="AB46" s="4">
        <v>0</v>
      </c>
      <c r="AC46" s="3">
        <v>35</v>
      </c>
      <c r="AD46" s="3">
        <v>-34.200000000000003</v>
      </c>
      <c r="AH46" s="3" t="s">
        <v>3</v>
      </c>
      <c r="AI46" s="5">
        <v>0</v>
      </c>
      <c r="AJ46" s="4">
        <v>0</v>
      </c>
      <c r="AK46" s="3">
        <v>34.200000000000003</v>
      </c>
    </row>
    <row r="47" spans="2:38" x14ac:dyDescent="0.4">
      <c r="B47" s="3" t="s">
        <v>4</v>
      </c>
      <c r="C47" s="13">
        <f>E46*C45*-1</f>
        <v>11.514000000000001</v>
      </c>
      <c r="D47" s="14">
        <f>E46*D45*-1</f>
        <v>11.286000000000001</v>
      </c>
      <c r="E47" s="16">
        <f>E46*E45*-1</f>
        <v>11.4</v>
      </c>
      <c r="G47" t="s">
        <v>81</v>
      </c>
      <c r="H47" s="18">
        <f>H46-(E50+M50)/5.64</f>
        <v>34.56657583422934</v>
      </c>
      <c r="J47" s="3" t="s">
        <v>4</v>
      </c>
      <c r="K47" s="13">
        <f>SUM(K46:N46)*K45*-1</f>
        <v>0.20250626566415966</v>
      </c>
      <c r="L47" s="17">
        <f>SUM(K46:N46)*L45*-1</f>
        <v>0.19849624060150303</v>
      </c>
      <c r="M47" s="16">
        <f>SUM(K46:N46)*M45*-1</f>
        <v>0.20050125313283135</v>
      </c>
      <c r="N47" s="16">
        <f>SUM(K46:N46)*N45*-1</f>
        <v>0.19849624060150303</v>
      </c>
      <c r="O47" t="s">
        <v>81</v>
      </c>
      <c r="P47" s="18">
        <f>P46-(N50+U50)/5.7</f>
        <v>37.205491746009834</v>
      </c>
      <c r="R47" s="3" t="s">
        <v>4</v>
      </c>
      <c r="S47" s="13">
        <f>SUM(S46:V46)*S45*-1</f>
        <v>0</v>
      </c>
      <c r="T47" s="17">
        <f>SUM(S46:V46)*T45*-1</f>
        <v>0</v>
      </c>
      <c r="U47" s="16">
        <f>SUM(S46:V46)*U45*-1</f>
        <v>0</v>
      </c>
      <c r="V47" s="16">
        <f>SUM(S46:V46)*V45*-1</f>
        <v>0</v>
      </c>
      <c r="Z47" s="3" t="s">
        <v>4</v>
      </c>
      <c r="AA47" s="13">
        <f>SUM(AA46:AD46)*AA45*-1</f>
        <v>-0.20250626566415966</v>
      </c>
      <c r="AB47" s="17">
        <f>SUM(AA46:AD46)*AB45*-1</f>
        <v>-0.19849624060150303</v>
      </c>
      <c r="AC47" s="16">
        <f>SUM(AA46:AD46)*AC45*-1</f>
        <v>-0.19849624060150303</v>
      </c>
      <c r="AD47" s="16">
        <f>SUM(AA46:AD46)*AD45*-1</f>
        <v>-0.20050125313283135</v>
      </c>
      <c r="AH47" s="3" t="s">
        <v>4</v>
      </c>
      <c r="AI47" s="13">
        <f>AK46*AI45*-1</f>
        <v>-11.514000000000001</v>
      </c>
      <c r="AJ47" s="17">
        <f>AK46*AJ45*-1</f>
        <v>-11.286000000000001</v>
      </c>
      <c r="AK47" s="14">
        <f>AK46*AK45*-1</f>
        <v>-11.4</v>
      </c>
    </row>
    <row r="48" spans="2:38" x14ac:dyDescent="0.4">
      <c r="B48" s="3" t="s">
        <v>5</v>
      </c>
      <c r="C48" s="13">
        <f>C38/2</f>
        <v>8.9945273631840799</v>
      </c>
      <c r="D48" s="14">
        <f>C56/2</f>
        <v>5.9399999999999995</v>
      </c>
      <c r="E48" s="16">
        <f>M47/2</f>
        <v>0.10025062656641567</v>
      </c>
      <c r="G48" t="s">
        <v>82</v>
      </c>
      <c r="H48" s="18">
        <f>H46+(E50+M50)/5.64</f>
        <v>38.43342416577066</v>
      </c>
      <c r="J48" s="3" t="s">
        <v>5</v>
      </c>
      <c r="K48" s="13">
        <f>K38/2</f>
        <v>0.13466666666666738</v>
      </c>
      <c r="L48" s="14">
        <f>K56/2</f>
        <v>8.9074550128535074E-2</v>
      </c>
      <c r="M48" s="16">
        <f>E47/2</f>
        <v>5.7</v>
      </c>
      <c r="N48" s="16">
        <f>U47/2</f>
        <v>0</v>
      </c>
      <c r="O48" t="s">
        <v>82</v>
      </c>
      <c r="P48" s="18">
        <f>P46+(N50+U50)/5.7</f>
        <v>36.794508253990166</v>
      </c>
      <c r="R48" s="3" t="s">
        <v>5</v>
      </c>
      <c r="S48" s="13">
        <f>S38/2</f>
        <v>0</v>
      </c>
      <c r="T48" s="14">
        <f>S56/2</f>
        <v>0</v>
      </c>
      <c r="U48" s="16">
        <f>M47/2</f>
        <v>0.10025062656641567</v>
      </c>
      <c r="V48" s="16">
        <f>AC47/2</f>
        <v>-9.9248120300751516E-2</v>
      </c>
      <c r="Z48" s="3" t="s">
        <v>5</v>
      </c>
      <c r="AA48" s="13">
        <f>AA38/2</f>
        <v>-0.13466666666666738</v>
      </c>
      <c r="AB48" s="14">
        <f>AA56/2</f>
        <v>-8.9074550128535074E-2</v>
      </c>
      <c r="AC48" s="16">
        <f>U47/2</f>
        <v>0</v>
      </c>
      <c r="AD48" s="16">
        <f>AK47/2</f>
        <v>-5.7</v>
      </c>
      <c r="AH48" s="3" t="s">
        <v>5</v>
      </c>
      <c r="AI48" s="13">
        <f>AI38/2</f>
        <v>-8.9945273631840799</v>
      </c>
      <c r="AJ48" s="14">
        <f>AI56/2</f>
        <v>-5.9399999999999995</v>
      </c>
      <c r="AK48" s="16">
        <f>AC47/2</f>
        <v>-9.9248120300751516E-2</v>
      </c>
    </row>
    <row r="49" spans="2:37" x14ac:dyDescent="0.4">
      <c r="B49" s="3" t="s">
        <v>6</v>
      </c>
      <c r="C49" s="13">
        <f>(C48+D48+E48)*C45*-1</f>
        <v>-5.0617085898826666</v>
      </c>
      <c r="D49" s="14">
        <f>(C48+D48+E48)*D45*-1</f>
        <v>-4.961476736617664</v>
      </c>
      <c r="E49" s="16">
        <f>(C48+D48+E48)*E45*-1</f>
        <v>-5.0115926632501644</v>
      </c>
      <c r="H49" s="18"/>
      <c r="J49" s="3" t="s">
        <v>6</v>
      </c>
      <c r="K49" s="13">
        <f>(K48+N48+L48+M48)*K45*-1</f>
        <v>-1.4994933907175827</v>
      </c>
      <c r="L49" s="14">
        <f>(K48+N48+L48+M48)*L45*-1</f>
        <v>-1.4698004522875314</v>
      </c>
      <c r="M49" s="16">
        <f>(K48+N48+L48+M48)*M45*-1</f>
        <v>-1.4846469215025571</v>
      </c>
      <c r="N49" s="16">
        <f>SUM(K48:N48)*N45*-1</f>
        <v>-1.4698004522875314</v>
      </c>
      <c r="R49" s="3" t="s">
        <v>6</v>
      </c>
      <c r="S49" s="13">
        <f>(S48+V48+T48+U48)*S45*-1</f>
        <v>-2.544048563620098E-4</v>
      </c>
      <c r="T49" s="14">
        <f>(S48+V48+T48+U48)*T45*-1</f>
        <v>-2.4936713643404924E-4</v>
      </c>
      <c r="U49" s="16">
        <f>(S48+V48+T48+U48)*U45*-1</f>
        <v>-2.4936713643404924E-4</v>
      </c>
      <c r="V49" s="16">
        <f>SUM(S48:V48)*V45*-1</f>
        <v>-2.4936713643404929E-4</v>
      </c>
      <c r="Z49" s="3" t="s">
        <v>6</v>
      </c>
      <c r="AA49" s="13">
        <f>(AA48+AD48+AB48+AC48)*AA45*-1</f>
        <v>1.4994933907175823</v>
      </c>
      <c r="AB49" s="14">
        <f>(AA48+AD48+AB48+AC48)*AB45*-1</f>
        <v>1.4698004522875312</v>
      </c>
      <c r="AC49" s="16">
        <f>(AA48+AD48+AB48+AC48)*AC45*-1</f>
        <v>1.4698004522875312</v>
      </c>
      <c r="AD49" s="16">
        <f>SUM(AA48:AD48)*AD45*-1</f>
        <v>1.4846469215025571</v>
      </c>
      <c r="AH49" s="3" t="s">
        <v>6</v>
      </c>
      <c r="AI49" s="13">
        <f>(AI48++AJ48+AK48)*AI45*-1</f>
        <v>5.0613710794398932</v>
      </c>
      <c r="AJ49" s="14">
        <f>(AI48++AJ48+AK48)*AJ45*-1</f>
        <v>4.9611459095499946</v>
      </c>
      <c r="AK49" s="16">
        <f>(AI48++AJ48+AK48)*AK45*-1</f>
        <v>5.0112584944949434</v>
      </c>
    </row>
    <row r="50" spans="2:37" x14ac:dyDescent="0.4">
      <c r="B50" s="3" t="s">
        <v>10</v>
      </c>
      <c r="C50" s="13">
        <f>C46+C47+C48+C49</f>
        <v>15.446818773301413</v>
      </c>
      <c r="D50" s="14">
        <f t="shared" ref="D50" si="8">D46+D47+D48+D49</f>
        <v>12.264523263382335</v>
      </c>
      <c r="E50" s="16">
        <f>E46+E47+E48+E49</f>
        <v>-27.711342036683753</v>
      </c>
      <c r="J50" s="3" t="s">
        <v>10</v>
      </c>
      <c r="K50" s="13">
        <f>K46+K47+K48+K49</f>
        <v>-1.1623204583867557</v>
      </c>
      <c r="L50" s="14">
        <f t="shared" ref="L50" si="9">L46+L47+L48+L49</f>
        <v>-1.1822296615574932</v>
      </c>
      <c r="M50" s="16">
        <f>M46+M47+M48+M49</f>
        <v>38.615854331630281</v>
      </c>
      <c r="N50" s="16">
        <f>N46+N47+N48+N49</f>
        <v>-36.271304211686029</v>
      </c>
      <c r="R50" s="3" t="s">
        <v>10</v>
      </c>
      <c r="S50" s="13">
        <f>S46+S47+S48+S49</f>
        <v>-2.544048563620098E-4</v>
      </c>
      <c r="T50" s="14">
        <f t="shared" ref="T50" si="10">T46+T47+T48+T49</f>
        <v>-2.4936713643404924E-4</v>
      </c>
      <c r="U50" s="32">
        <f>U46+U47+U48+U49</f>
        <v>35.10000125942998</v>
      </c>
      <c r="V50" s="32">
        <f>V46+V47+V48+V49</f>
        <v>-35.099497487437183</v>
      </c>
      <c r="Z50" s="3" t="s">
        <v>10</v>
      </c>
      <c r="AA50" s="31">
        <f>AA46+AA47+AA48+AA49</f>
        <v>1.1623204583867552</v>
      </c>
      <c r="AB50" s="33">
        <f t="shared" ref="AB50" si="11">AB46+AB47+AB48+AB49</f>
        <v>1.1822296615574932</v>
      </c>
      <c r="AC50" s="32">
        <f>AC46+AC47+AC48+AC49</f>
        <v>36.271304211686029</v>
      </c>
      <c r="AD50" s="32">
        <f>AD46+AD47+AD48+AD49</f>
        <v>-38.615854331630281</v>
      </c>
      <c r="AH50" s="3" t="s">
        <v>10</v>
      </c>
      <c r="AI50" s="31">
        <f>AI46+AI47+AI48+AI49</f>
        <v>-15.447156283744185</v>
      </c>
      <c r="AJ50" s="33">
        <f t="shared" ref="AJ50" si="12">AJ46+AJ47+AJ48+AJ49</f>
        <v>-12.264854090450005</v>
      </c>
      <c r="AK50" s="32">
        <f>AK46+AK47+AK48+AK49</f>
        <v>27.712010374194197</v>
      </c>
    </row>
    <row r="51" spans="2:37" x14ac:dyDescent="0.4">
      <c r="C51" s="1"/>
      <c r="D51" s="22">
        <v>0.99</v>
      </c>
      <c r="K51" s="1"/>
      <c r="L51" s="22">
        <v>0.99</v>
      </c>
      <c r="S51" s="1"/>
      <c r="T51" s="22">
        <v>0.99</v>
      </c>
      <c r="AA51" s="1"/>
      <c r="AB51" s="22">
        <v>0.99</v>
      </c>
      <c r="AI51" s="1"/>
      <c r="AJ51" s="22">
        <v>0.99</v>
      </c>
    </row>
    <row r="52" spans="2:37" ht="19.5" thickBot="1" x14ac:dyDescent="0.45">
      <c r="C52" s="1"/>
      <c r="D52" s="8"/>
      <c r="E52" s="2"/>
      <c r="F52" s="2"/>
      <c r="G52" s="21">
        <v>1</v>
      </c>
      <c r="H52" s="2"/>
      <c r="I52" s="2"/>
      <c r="J52" s="2"/>
      <c r="K52" s="9"/>
      <c r="L52" s="8"/>
      <c r="M52" s="2"/>
      <c r="N52" s="2"/>
      <c r="O52" s="21">
        <v>0.99</v>
      </c>
      <c r="P52" s="2"/>
      <c r="Q52" s="2"/>
      <c r="R52" s="2"/>
      <c r="S52" s="9"/>
      <c r="T52" s="8"/>
      <c r="U52" s="2"/>
      <c r="V52" s="2"/>
      <c r="W52" s="21">
        <v>0.99</v>
      </c>
      <c r="X52" s="2"/>
      <c r="Y52" s="2"/>
      <c r="Z52" s="2"/>
      <c r="AA52" s="9"/>
      <c r="AB52" s="8"/>
      <c r="AC52" s="2"/>
      <c r="AD52" s="2"/>
      <c r="AE52" s="21">
        <v>1</v>
      </c>
      <c r="AF52" s="2"/>
      <c r="AG52" s="2"/>
      <c r="AH52" s="2"/>
      <c r="AI52" s="9"/>
    </row>
    <row r="53" spans="2:37" x14ac:dyDescent="0.4">
      <c r="B53" s="3"/>
      <c r="C53" s="5" t="s">
        <v>8</v>
      </c>
      <c r="D53" s="6" t="s">
        <v>9</v>
      </c>
      <c r="E53" s="7" t="s">
        <v>1</v>
      </c>
      <c r="G53" t="s">
        <v>7</v>
      </c>
      <c r="H53">
        <v>52.1</v>
      </c>
      <c r="J53" s="3"/>
      <c r="K53" s="10" t="s">
        <v>8</v>
      </c>
      <c r="L53" s="6" t="s">
        <v>9</v>
      </c>
      <c r="M53" s="7" t="s">
        <v>11</v>
      </c>
      <c r="N53" s="7" t="s">
        <v>12</v>
      </c>
      <c r="O53" t="s">
        <v>7</v>
      </c>
      <c r="P53">
        <v>53.2</v>
      </c>
      <c r="R53" s="3"/>
      <c r="S53" s="10" t="s">
        <v>8</v>
      </c>
      <c r="T53" s="6" t="s">
        <v>9</v>
      </c>
      <c r="U53" s="7" t="s">
        <v>11</v>
      </c>
      <c r="V53" s="7" t="s">
        <v>12</v>
      </c>
      <c r="W53" t="s">
        <v>7</v>
      </c>
      <c r="X53">
        <v>53.2</v>
      </c>
      <c r="Z53" s="3"/>
      <c r="AA53" s="10" t="s">
        <v>8</v>
      </c>
      <c r="AB53" s="6" t="s">
        <v>9</v>
      </c>
      <c r="AC53" s="7" t="s">
        <v>11</v>
      </c>
      <c r="AD53" s="7" t="s">
        <v>12</v>
      </c>
      <c r="AE53" t="s">
        <v>7</v>
      </c>
      <c r="AF53">
        <v>52.1</v>
      </c>
      <c r="AH53" s="3"/>
      <c r="AI53" s="10" t="s">
        <v>8</v>
      </c>
      <c r="AJ53" s="4" t="s">
        <v>9</v>
      </c>
      <c r="AK53" s="3" t="s">
        <v>1</v>
      </c>
    </row>
    <row r="54" spans="2:37" x14ac:dyDescent="0.4">
      <c r="B54" s="3" t="s">
        <v>2</v>
      </c>
      <c r="C54" s="11">
        <f>D51/(D51+D60+G52)</f>
        <v>0.3413793103448276</v>
      </c>
      <c r="D54" s="12">
        <f>D60/(D51+D60+G52)</f>
        <v>0.31379310344827588</v>
      </c>
      <c r="E54" s="15">
        <f>G52/(D51+D60+G52)</f>
        <v>0.34482758620689657</v>
      </c>
      <c r="H54" s="18">
        <f>H53-AVERAGE(ABS(E59),ABS(M59))</f>
        <v>20.050791777555766</v>
      </c>
      <c r="J54" s="3" t="s">
        <v>2</v>
      </c>
      <c r="K54" s="11">
        <f>L51/(L51+L60+G52+O52)</f>
        <v>0.25449871465295631</v>
      </c>
      <c r="L54" s="12">
        <f>L60/(L51+L60+G52+O52)</f>
        <v>0.23393316195372754</v>
      </c>
      <c r="M54" s="15">
        <f>G52/(L51+L60+G52+O52)</f>
        <v>0.25706940874035994</v>
      </c>
      <c r="N54" s="15">
        <f>O52/(G52+L60+O52+L51)</f>
        <v>0.25449871465295626</v>
      </c>
      <c r="P54" s="18">
        <f>P53-AVERAGE(ABS(M59),ABS(U59))</f>
        <v>15.69937611491892</v>
      </c>
      <c r="R54" s="3" t="s">
        <v>2</v>
      </c>
      <c r="S54" s="11">
        <f>T51/(T51+T60+O52+W52)</f>
        <v>0.25515463917525771</v>
      </c>
      <c r="T54" s="12">
        <f>T60/(T51+T60+O52+W52)</f>
        <v>0.23453608247422683</v>
      </c>
      <c r="U54" s="15">
        <f>O52/(T51+T60+O52+W52)</f>
        <v>0.25515463917525771</v>
      </c>
      <c r="V54" s="15">
        <f>W52/(O52+T60+W52+T51)</f>
        <v>0.25515463917525771</v>
      </c>
      <c r="X54" s="18">
        <f>X53-AVERAGE(ABS(U59),ABS(AC59))</f>
        <v>16.96782165035134</v>
      </c>
      <c r="Z54" s="3" t="s">
        <v>2</v>
      </c>
      <c r="AA54" s="11">
        <f>AB51/(AB51+AB60+W52+AE52)</f>
        <v>0.25449871465295631</v>
      </c>
      <c r="AB54" s="12">
        <f>AB60/(AB51+AB60+W52+AE52)</f>
        <v>0.23393316195372754</v>
      </c>
      <c r="AC54" s="15">
        <f>W52/(AB51+AB60+W52+AE52)</f>
        <v>0.25449871465295631</v>
      </c>
      <c r="AD54" s="15">
        <f>AE52/(W52+AB60+AE52+AB51)</f>
        <v>0.25706940874035994</v>
      </c>
      <c r="AF54" s="18">
        <f>AF53-AVERAGE(ABS(AC59),ABS(AK59))</f>
        <v>21.318942569614364</v>
      </c>
      <c r="AH54" s="3" t="s">
        <v>2</v>
      </c>
      <c r="AI54" s="11">
        <f>AJ51/(AJ51+AJ60+AE52)</f>
        <v>0.3413793103448276</v>
      </c>
      <c r="AJ54" s="12">
        <f>AJ60/(AJ51+AJ60+AE52)</f>
        <v>0.31379310344827588</v>
      </c>
      <c r="AK54" s="15">
        <f>AE52/(AJ51+AJ60+AE52)</f>
        <v>0.34482758620689657</v>
      </c>
    </row>
    <row r="55" spans="2:37" x14ac:dyDescent="0.4">
      <c r="B55" s="3" t="s">
        <v>3</v>
      </c>
      <c r="C55" s="5">
        <v>0</v>
      </c>
      <c r="D55" s="4">
        <v>0</v>
      </c>
      <c r="E55" s="3">
        <v>-34.799999999999997</v>
      </c>
      <c r="G55" t="s">
        <v>80</v>
      </c>
      <c r="H55">
        <v>37</v>
      </c>
      <c r="J55" s="3" t="s">
        <v>3</v>
      </c>
      <c r="K55" s="5">
        <v>0</v>
      </c>
      <c r="L55" s="4">
        <v>0</v>
      </c>
      <c r="M55" s="3">
        <v>34.799999999999997</v>
      </c>
      <c r="N55" s="3">
        <v>-35.5</v>
      </c>
      <c r="O55" t="s">
        <v>80</v>
      </c>
      <c r="P55">
        <v>37.5</v>
      </c>
      <c r="R55" s="3" t="s">
        <v>3</v>
      </c>
      <c r="S55" s="5">
        <v>0</v>
      </c>
      <c r="T55" s="4">
        <v>0</v>
      </c>
      <c r="U55" s="3">
        <v>35.5</v>
      </c>
      <c r="V55" s="3">
        <v>-35.5</v>
      </c>
      <c r="Z55" s="3" t="s">
        <v>3</v>
      </c>
      <c r="AA55" s="5">
        <v>0</v>
      </c>
      <c r="AB55" s="4">
        <v>0</v>
      </c>
      <c r="AC55" s="3">
        <v>35.5</v>
      </c>
      <c r="AD55" s="3">
        <v>-34.799999999999997</v>
      </c>
      <c r="AH55" s="3" t="s">
        <v>3</v>
      </c>
      <c r="AI55" s="5">
        <v>0</v>
      </c>
      <c r="AJ55" s="4">
        <v>0</v>
      </c>
      <c r="AK55" s="3">
        <v>34.799999999999997</v>
      </c>
    </row>
    <row r="56" spans="2:37" x14ac:dyDescent="0.4">
      <c r="B56" s="3" t="s">
        <v>4</v>
      </c>
      <c r="C56" s="13">
        <f>E55*C54*-1</f>
        <v>11.879999999999999</v>
      </c>
      <c r="D56" s="14">
        <f>E55*D54*-1</f>
        <v>10.92</v>
      </c>
      <c r="E56" s="16">
        <f>E55*E54*-1</f>
        <v>12</v>
      </c>
      <c r="G56" t="s">
        <v>81</v>
      </c>
      <c r="H56" s="18">
        <f>H55-(E59+M59)/5.64</f>
        <v>34.389257153105817</v>
      </c>
      <c r="J56" s="3" t="s">
        <v>4</v>
      </c>
      <c r="K56" s="13">
        <f>SUM(K55:N55)*K54*-1</f>
        <v>0.17814910025707015</v>
      </c>
      <c r="L56" s="17">
        <f>SUM(K55:N55)*L54*-1</f>
        <v>0.16375321336760995</v>
      </c>
      <c r="M56" s="16">
        <f>SUM(K55:N55)*M54*-1</f>
        <v>0.17994858611825268</v>
      </c>
      <c r="N56" s="16">
        <f>SUM(K55:N55)*N54*-1</f>
        <v>0.17814910025707009</v>
      </c>
      <c r="O56" t="s">
        <v>81</v>
      </c>
      <c r="P56" s="18">
        <f>P55-(N59+U59)/5.7</f>
        <v>37.725415308832403</v>
      </c>
      <c r="R56" s="3" t="s">
        <v>4</v>
      </c>
      <c r="S56" s="13">
        <f>SUM(S55:V55)*S54*-1</f>
        <v>0</v>
      </c>
      <c r="T56" s="17">
        <f>SUM(S55:V55)*T54*-1</f>
        <v>0</v>
      </c>
      <c r="U56" s="16">
        <f>SUM(S55:V55)*U54*-1</f>
        <v>0</v>
      </c>
      <c r="V56" s="16">
        <f>SUM(S55:V55)*V54*-1</f>
        <v>0</v>
      </c>
      <c r="Z56" s="3" t="s">
        <v>4</v>
      </c>
      <c r="AA56" s="13">
        <f>SUM(AA55:AD55)*AA54*-1</f>
        <v>-0.17814910025707015</v>
      </c>
      <c r="AB56" s="17">
        <f>SUM(AA55:AD55)*AB54*-1</f>
        <v>-0.16375321336760995</v>
      </c>
      <c r="AC56" s="16">
        <f>SUM(AA55:AD55)*AC54*-1</f>
        <v>-0.17814910025707015</v>
      </c>
      <c r="AD56" s="16">
        <f>SUM(AA55:AD55)*AD54*-1</f>
        <v>-0.17994858611825268</v>
      </c>
      <c r="AH56" s="3" t="s">
        <v>4</v>
      </c>
      <c r="AI56" s="13">
        <f>AK55*AI54*-1</f>
        <v>-11.879999999999999</v>
      </c>
      <c r="AJ56" s="17">
        <f>AK55*AJ54*-1</f>
        <v>-10.92</v>
      </c>
      <c r="AK56" s="14">
        <f>AK55*AK54*-1</f>
        <v>-12</v>
      </c>
    </row>
    <row r="57" spans="2:37" x14ac:dyDescent="0.4">
      <c r="B57" s="3" t="s">
        <v>5</v>
      </c>
      <c r="C57" s="13">
        <f>D47/2</f>
        <v>5.6430000000000007</v>
      </c>
      <c r="D57" s="4">
        <v>0</v>
      </c>
      <c r="E57" s="16">
        <f>M56/2</f>
        <v>8.997429305912634E-2</v>
      </c>
      <c r="G57" t="s">
        <v>82</v>
      </c>
      <c r="H57" s="18">
        <f>H55+(E59+M59)/5.64</f>
        <v>39.610742846894183</v>
      </c>
      <c r="J57" s="3" t="s">
        <v>5</v>
      </c>
      <c r="K57" s="13">
        <f>K47/2</f>
        <v>0.10125313283207983</v>
      </c>
      <c r="L57" s="14">
        <f>K65/2</f>
        <v>0</v>
      </c>
      <c r="M57" s="16">
        <f>E56/2</f>
        <v>6</v>
      </c>
      <c r="N57" s="16">
        <f>U56/2</f>
        <v>0</v>
      </c>
      <c r="O57" t="s">
        <v>82</v>
      </c>
      <c r="P57" s="18">
        <f>P55+(N59+U59)/5.7</f>
        <v>37.274584691167597</v>
      </c>
      <c r="R57" s="3" t="s">
        <v>5</v>
      </c>
      <c r="S57" s="13">
        <f>S47/2</f>
        <v>0</v>
      </c>
      <c r="T57" s="14">
        <f>S65/2</f>
        <v>0</v>
      </c>
      <c r="U57" s="16">
        <f>M56/2</f>
        <v>8.997429305912634E-2</v>
      </c>
      <c r="V57" s="16">
        <f>AC56/2</f>
        <v>-8.9074550128535074E-2</v>
      </c>
      <c r="Z57" s="3" t="s">
        <v>5</v>
      </c>
      <c r="AA57" s="13">
        <f>AA47/2</f>
        <v>-0.10125313283207983</v>
      </c>
      <c r="AB57" s="14">
        <f>AA65/2</f>
        <v>0</v>
      </c>
      <c r="AC57" s="16">
        <f>U56/2</f>
        <v>0</v>
      </c>
      <c r="AD57" s="16">
        <f>AK56/2</f>
        <v>-6</v>
      </c>
      <c r="AH57" s="3" t="s">
        <v>5</v>
      </c>
      <c r="AI57" s="13">
        <f>AJ47/2</f>
        <v>-5.6430000000000007</v>
      </c>
      <c r="AJ57" s="4">
        <v>0</v>
      </c>
      <c r="AK57" s="16">
        <f>AC56/2</f>
        <v>-8.9074550128535074E-2</v>
      </c>
    </row>
    <row r="58" spans="2:37" x14ac:dyDescent="0.4">
      <c r="B58" s="3" t="s">
        <v>6</v>
      </c>
      <c r="C58" s="13">
        <f>(C57+D57+E57)*C54*-1</f>
        <v>-1.9571188103891504</v>
      </c>
      <c r="D58" s="14">
        <f>(C57+D57+E57)*D54*-1</f>
        <v>-1.7989677954082088</v>
      </c>
      <c r="E58" s="16">
        <f>(C57+D57+E57)*E54*-1</f>
        <v>-1.976887687261768</v>
      </c>
      <c r="H58" s="18"/>
      <c r="J58" s="3" t="s">
        <v>6</v>
      </c>
      <c r="K58" s="13">
        <f>(K57+N57+L57+M57)*K54*-1</f>
        <v>-1.5527610800780873</v>
      </c>
      <c r="L58" s="14">
        <f>(K57+N57+L57+M57)*L54*-1</f>
        <v>-1.4272854372434947</v>
      </c>
      <c r="M58" s="16">
        <f>(K57+N57+L57+M57)*M54*-1</f>
        <v>-1.5684455354324116</v>
      </c>
      <c r="N58" s="16">
        <f>SUM(K57:N57)*N54*-1</f>
        <v>-1.5527610800780871</v>
      </c>
      <c r="R58" s="3" t="s">
        <v>6</v>
      </c>
      <c r="S58" s="13">
        <f>(S57+V57+T57+U57)*S54*-1</f>
        <v>-2.2957358280550335E-4</v>
      </c>
      <c r="T58" s="14">
        <f>(S57+V57+T57+U57)*T54*-1</f>
        <v>-2.1102218217475564E-4</v>
      </c>
      <c r="U58" s="16">
        <f>(S57+V57+T57+U57)*U54*-1</f>
        <v>-2.2957358280550335E-4</v>
      </c>
      <c r="V58" s="16">
        <f>SUM(S57:V57)*V54*-1</f>
        <v>-2.2957358280550335E-4</v>
      </c>
      <c r="Z58" s="3" t="s">
        <v>6</v>
      </c>
      <c r="AA58" s="13">
        <f>(AA57+AD57+AB57+AC57)*AA54*-1</f>
        <v>1.5527610800780873</v>
      </c>
      <c r="AB58" s="14">
        <f>(AA57+AD57+AB57+AC57)*AB54*-1</f>
        <v>1.4272854372434947</v>
      </c>
      <c r="AC58" s="16">
        <f>(AA57+AD57+AB57+AC57)*AC54*-1</f>
        <v>1.5527610800780873</v>
      </c>
      <c r="AD58" s="16">
        <f>SUM(AA57:AD57)*AD54*-1</f>
        <v>1.5684455354324116</v>
      </c>
      <c r="AH58" s="3" t="s">
        <v>6</v>
      </c>
      <c r="AI58" s="13">
        <f>(AI57++AJ57+AK57)*AI54*-1</f>
        <v>1.9568116567680174</v>
      </c>
      <c r="AJ58" s="14">
        <f>(AI57++AJ57+AK57)*AJ54*-1</f>
        <v>1.798685462281713</v>
      </c>
      <c r="AK58" s="16">
        <f>(AI57++AJ57+AK57)*AK54*-1</f>
        <v>1.9765774310788056</v>
      </c>
    </row>
    <row r="59" spans="2:37" x14ac:dyDescent="0.4">
      <c r="B59" s="3" t="s">
        <v>10</v>
      </c>
      <c r="C59" s="13">
        <f>C55+C56+C57+C58</f>
        <v>15.565881189610849</v>
      </c>
      <c r="D59" s="14">
        <f>D55+D56+D57+D58</f>
        <v>9.121032204591792</v>
      </c>
      <c r="E59" s="16">
        <f>E55+E56+E57+E58</f>
        <v>-24.686913394202641</v>
      </c>
      <c r="J59" s="3" t="s">
        <v>10</v>
      </c>
      <c r="K59" s="31">
        <f>K55+K56+K57+K58</f>
        <v>-1.2733588469889374</v>
      </c>
      <c r="L59" s="33">
        <f t="shared" ref="L59" si="13">L55+L56+L57+L58</f>
        <v>-1.2635322238758846</v>
      </c>
      <c r="M59" s="32">
        <f>M55+M56+M57+M58</f>
        <v>39.411503050685837</v>
      </c>
      <c r="N59" s="32">
        <f>N55+N56+N57+N58</f>
        <v>-36.874611979821012</v>
      </c>
      <c r="R59" s="3" t="s">
        <v>10</v>
      </c>
      <c r="S59" s="31">
        <f>S55+S56+S57+S58</f>
        <v>-2.2957358280550335E-4</v>
      </c>
      <c r="T59" s="33">
        <f t="shared" ref="T59" si="14">T55+T56+T57+T58</f>
        <v>-2.1102218217475564E-4</v>
      </c>
      <c r="U59" s="32">
        <f>U55+U56+U57+U58</f>
        <v>35.589744719476322</v>
      </c>
      <c r="V59" s="32">
        <f>V55+V56+V57+V58</f>
        <v>-35.589304123711344</v>
      </c>
      <c r="Z59" s="3" t="s">
        <v>10</v>
      </c>
      <c r="AA59" s="31">
        <f>AA55+AA56+AA57+AA58</f>
        <v>1.2733588469889374</v>
      </c>
      <c r="AB59" s="33">
        <f t="shared" ref="AB59" si="15">AB55+AB56+AB57+AB58</f>
        <v>1.2635322238758846</v>
      </c>
      <c r="AC59" s="32">
        <f>AC55+AC56+AC57+AC58</f>
        <v>36.874611979821012</v>
      </c>
      <c r="AD59" s="32">
        <f>AD55+AD56+AD57+AD58</f>
        <v>-39.411503050685837</v>
      </c>
      <c r="AH59" s="3" t="s">
        <v>10</v>
      </c>
      <c r="AI59" s="13">
        <f>AI55+AI56+AI57+AI58</f>
        <v>-15.566188343231982</v>
      </c>
      <c r="AJ59" s="14">
        <f t="shared" ref="AJ59" si="16">AJ55+AJ56+AJ57+AJ58</f>
        <v>-9.1213145377182876</v>
      </c>
      <c r="AK59" s="16">
        <f>AK55+AK56+AK57+AK58</f>
        <v>24.687502880950266</v>
      </c>
    </row>
    <row r="60" spans="2:37" x14ac:dyDescent="0.4">
      <c r="C60" s="1"/>
      <c r="D60" s="22">
        <v>0.91</v>
      </c>
      <c r="K60" s="1"/>
      <c r="L60" s="22">
        <v>0.91</v>
      </c>
      <c r="S60" s="1"/>
      <c r="T60" s="22">
        <v>0.91</v>
      </c>
      <c r="AA60" s="1"/>
      <c r="AB60" s="22">
        <v>0.91</v>
      </c>
      <c r="AI60" s="1"/>
      <c r="AJ60" s="22">
        <v>0.91</v>
      </c>
    </row>
    <row r="61" spans="2:37" x14ac:dyDescent="0.4">
      <c r="C61" s="1"/>
      <c r="K61" s="1"/>
      <c r="S61" s="1"/>
      <c r="AA61" s="1"/>
      <c r="AI61" s="1"/>
    </row>
    <row r="62" spans="2:37" x14ac:dyDescent="0.4">
      <c r="D62" s="18">
        <f>D59/2</f>
        <v>4.560516102295896</v>
      </c>
      <c r="L62" s="18">
        <f>L59/2</f>
        <v>-0.6317661119379423</v>
      </c>
      <c r="T62" s="18">
        <f>T59/2</f>
        <v>-1.0551109108737782E-4</v>
      </c>
      <c r="AB62" s="18">
        <f>AB59/2</f>
        <v>0.6317661119379423</v>
      </c>
      <c r="AJ62" s="18">
        <f>AJ59/2</f>
        <v>-4.5606572688591438</v>
      </c>
    </row>
  </sheetData>
  <phoneticPr fontId="1"/>
  <pageMargins left="0.7" right="0.7" top="0.75" bottom="0.75" header="0.3" footer="0.3"/>
  <pageSetup paperSize="9" scale="24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7E16DD-B801-4DE4-B5A5-D0916C79F045}">
  <sheetPr>
    <tabColor theme="0" tint="-0.499984740745262"/>
  </sheetPr>
  <dimension ref="B1:AK63"/>
  <sheetViews>
    <sheetView zoomScale="85" zoomScaleNormal="85" workbookViewId="0">
      <selection activeCell="H4" sqref="H4"/>
    </sheetView>
  </sheetViews>
  <sheetFormatPr defaultRowHeight="18.75" x14ac:dyDescent="0.4"/>
  <cols>
    <col min="7" max="7" width="11.25" customWidth="1"/>
  </cols>
  <sheetData>
    <row r="1" spans="2:36" x14ac:dyDescent="0.4">
      <c r="E1" t="s">
        <v>19</v>
      </c>
      <c r="S1" t="s">
        <v>20</v>
      </c>
    </row>
    <row r="2" spans="2:36" x14ac:dyDescent="0.4">
      <c r="B2" t="s">
        <v>15</v>
      </c>
      <c r="AG2" s="62" t="s">
        <v>33</v>
      </c>
      <c r="AH2" s="62"/>
      <c r="AI2" s="62" t="s">
        <v>34</v>
      </c>
      <c r="AJ2" s="62"/>
    </row>
    <row r="3" spans="2:36" ht="19.5" thickBot="1" x14ac:dyDescent="0.45">
      <c r="D3" s="2"/>
      <c r="E3" s="2"/>
      <c r="F3" s="2" t="s">
        <v>28</v>
      </c>
      <c r="G3" s="2">
        <f>固定モーメント法!G3</f>
        <v>3.19</v>
      </c>
      <c r="H3" s="18">
        <f>K5+K1</f>
        <v>138.82747428736425</v>
      </c>
      <c r="I3" s="2"/>
      <c r="J3" s="2"/>
      <c r="K3" s="2"/>
      <c r="R3" s="2"/>
      <c r="S3" s="2"/>
      <c r="T3" s="2" t="s">
        <v>28</v>
      </c>
      <c r="U3" s="19">
        <f>固定モーメント法!U3</f>
        <v>2.5499999999999998</v>
      </c>
      <c r="V3" s="18">
        <f>Y5+Y1</f>
        <v>126.51628856895368</v>
      </c>
      <c r="W3" s="2"/>
      <c r="X3" s="2"/>
      <c r="Y3" s="2"/>
      <c r="AE3" t="s">
        <v>18</v>
      </c>
      <c r="AF3" t="s">
        <v>35</v>
      </c>
      <c r="AG3" t="s">
        <v>30</v>
      </c>
      <c r="AH3" t="s">
        <v>31</v>
      </c>
      <c r="AI3" t="s">
        <v>30</v>
      </c>
      <c r="AJ3" t="s">
        <v>31</v>
      </c>
    </row>
    <row r="4" spans="2:36" x14ac:dyDescent="0.4">
      <c r="B4" s="3"/>
      <c r="C4" s="5"/>
      <c r="D4" s="6"/>
      <c r="E4" s="7"/>
      <c r="F4" s="18">
        <f>C5+C1</f>
        <v>138.82747428736425</v>
      </c>
      <c r="H4" s="26" t="s">
        <v>29</v>
      </c>
      <c r="J4" s="3"/>
      <c r="K4" s="10"/>
      <c r="L4" s="4"/>
      <c r="M4" s="3"/>
      <c r="P4" s="3"/>
      <c r="Q4" s="5"/>
      <c r="R4" s="6"/>
      <c r="S4" s="7"/>
      <c r="T4" s="18">
        <f>Q5+Q1</f>
        <v>126.51628856895368</v>
      </c>
      <c r="V4" s="26" t="s">
        <v>29</v>
      </c>
      <c r="X4" s="3"/>
      <c r="Y4" s="10"/>
      <c r="Z4" s="4"/>
      <c r="AA4" s="3"/>
      <c r="AD4">
        <v>3</v>
      </c>
      <c r="AE4">
        <v>658</v>
      </c>
      <c r="AF4">
        <v>3.7</v>
      </c>
      <c r="AG4" s="27">
        <f>AE4*1000/((C9+K9)*3+(Q9+Y9)*2)*(AF4*1000)^2/12/205000/10^5</f>
        <v>6.1391043649915567</v>
      </c>
      <c r="AH4" s="18">
        <f>1/(AG4/AF4/1000)</f>
        <v>602.69377746685188</v>
      </c>
      <c r="AI4" s="27">
        <f>AE4*1000/(C40+K40+S40+AA40+AI40)/2*(AF4*1000)^2/12/205000/10^5</f>
        <v>8.4323921382124816</v>
      </c>
      <c r="AJ4" s="18">
        <f>1/(AI4/AF4/1000)</f>
        <v>438.78414800385872</v>
      </c>
    </row>
    <row r="5" spans="2:36" x14ac:dyDescent="0.4">
      <c r="B5" s="3" t="s">
        <v>26</v>
      </c>
      <c r="C5" s="25">
        <f>C6*$AF$4*(1-E5)</f>
        <v>138.82747428736425</v>
      </c>
      <c r="D5" s="4" t="s">
        <v>25</v>
      </c>
      <c r="E5" s="15">
        <f>SUM(E6:E9)</f>
        <v>0.45</v>
      </c>
      <c r="G5" t="s">
        <v>18</v>
      </c>
      <c r="H5" s="18"/>
      <c r="J5" s="3" t="s">
        <v>26</v>
      </c>
      <c r="K5" s="25">
        <f>K6*$AF$4*(1-M5)</f>
        <v>138.82747428736425</v>
      </c>
      <c r="L5" s="4" t="s">
        <v>25</v>
      </c>
      <c r="M5" s="15">
        <f>SUM(M6:M9)</f>
        <v>0.45</v>
      </c>
      <c r="P5" s="3" t="s">
        <v>26</v>
      </c>
      <c r="Q5" s="25">
        <f>Q6*$AF$4*(1-S5)</f>
        <v>126.51628856895368</v>
      </c>
      <c r="R5" s="4" t="s">
        <v>25</v>
      </c>
      <c r="S5" s="15">
        <f>SUM(S6:S9)</f>
        <v>0.45</v>
      </c>
      <c r="U5" t="s">
        <v>18</v>
      </c>
      <c r="V5" s="18"/>
      <c r="X5" s="3" t="s">
        <v>26</v>
      </c>
      <c r="Y5" s="25">
        <f>Y6*$AF$4*(1-AA5)</f>
        <v>126.51628856895368</v>
      </c>
      <c r="Z5" s="4" t="s">
        <v>25</v>
      </c>
      <c r="AA5" s="15">
        <f>SUM(AA6:AA9)</f>
        <v>0.45</v>
      </c>
      <c r="AD5">
        <v>2</v>
      </c>
      <c r="AE5">
        <v>1036</v>
      </c>
      <c r="AF5">
        <v>3.75</v>
      </c>
      <c r="AG5" s="27">
        <f>AE5*1000/((C18+K18)*3+(Q18+Y18)*2)*(AF5*1000)^2/12/205000/10^5</f>
        <v>10.047522014385882</v>
      </c>
      <c r="AH5" s="18">
        <f>1/(AG5/AF5/1000)</f>
        <v>373.22635318746353</v>
      </c>
      <c r="AI5" s="27">
        <f>AE5*1000/(C49+K49+S49+AA49+AI49)/2*(AF5*1000)^2/12/205000/10^5</f>
        <v>13.760379568423236</v>
      </c>
      <c r="AJ5" s="18">
        <f>1/(AI5/AF5/1000)</f>
        <v>272.52155228372834</v>
      </c>
    </row>
    <row r="6" spans="2:36" x14ac:dyDescent="0.4">
      <c r="B6" s="3" t="s">
        <v>18</v>
      </c>
      <c r="C6" s="13">
        <f>$AE$4/(($C9+$K9)*3+($Q9+$Y9)*2)*C9</f>
        <v>68.219889084699872</v>
      </c>
      <c r="D6" s="4" t="s">
        <v>21</v>
      </c>
      <c r="E6" s="23">
        <v>0.45</v>
      </c>
      <c r="G6" s="34">
        <f>(F4+H3)/G31</f>
        <v>20.597548113852262</v>
      </c>
      <c r="J6" s="3" t="s">
        <v>18</v>
      </c>
      <c r="K6" s="13">
        <f>$AE$4/(($C9+$K9)*3+($Q9+$Y9)*2)*K9</f>
        <v>68.219889084699872</v>
      </c>
      <c r="L6" s="4" t="s">
        <v>21</v>
      </c>
      <c r="M6" s="23">
        <v>0.45</v>
      </c>
      <c r="P6" s="3" t="s">
        <v>18</v>
      </c>
      <c r="Q6" s="13">
        <f>$AE$4/(($C9+$K9)*3+($Q9+$Y9)*2)*Q9</f>
        <v>62.170166372950206</v>
      </c>
      <c r="R6" s="4" t="s">
        <v>21</v>
      </c>
      <c r="S6" s="23">
        <v>0.45</v>
      </c>
      <c r="U6" s="34">
        <f>(T4+V3)/U31</f>
        <v>18.770962695690457</v>
      </c>
      <c r="X6" s="3" t="s">
        <v>18</v>
      </c>
      <c r="Y6" s="13">
        <f>$AE$4/(($C9+$K9)*3+($Q9+$Y9)*2)*Y9</f>
        <v>62.170166372950206</v>
      </c>
      <c r="Z6" s="4" t="s">
        <v>21</v>
      </c>
      <c r="AA6" s="23">
        <v>0.45</v>
      </c>
      <c r="AD6">
        <v>1</v>
      </c>
      <c r="AE6">
        <v>1277</v>
      </c>
      <c r="AF6">
        <v>4.0999999999999996</v>
      </c>
      <c r="AG6" s="27">
        <f>AE6*1000/((C27+K27)*3+(Q27+Y27)*2)*(AF6*1000)^2/12/205000/10^5</f>
        <v>17.129203905749574</v>
      </c>
      <c r="AH6" s="18">
        <f>1/(AG6/AF6/1000)</f>
        <v>239.35730011502739</v>
      </c>
      <c r="AI6" s="27">
        <f>AE6*1000/(C58+K58+S58+AA58+AI58)/2*(AF6*1000)^2/12/205000/10^5</f>
        <v>18.125187431165703</v>
      </c>
      <c r="AJ6" s="18">
        <f>1/(AI6/AF6/1000)</f>
        <v>226.20455736364835</v>
      </c>
    </row>
    <row r="7" spans="2:36" x14ac:dyDescent="0.4">
      <c r="B7" s="3" t="s">
        <v>14</v>
      </c>
      <c r="C7" s="11">
        <f>(G3+G12)/D11/2</f>
        <v>3.1584158415841586</v>
      </c>
      <c r="D7" s="4" t="s">
        <v>22</v>
      </c>
      <c r="E7" s="24">
        <v>0</v>
      </c>
      <c r="J7" s="3" t="s">
        <v>14</v>
      </c>
      <c r="K7" s="11">
        <f>(G3+G12)/L11/2</f>
        <v>3.1584158415841586</v>
      </c>
      <c r="L7" s="4" t="s">
        <v>22</v>
      </c>
      <c r="M7" s="24">
        <v>0</v>
      </c>
      <c r="P7" s="3" t="s">
        <v>14</v>
      </c>
      <c r="Q7" s="11">
        <f>(U3+U12)/R11/2</f>
        <v>2.5247524752475248</v>
      </c>
      <c r="R7" s="4" t="s">
        <v>22</v>
      </c>
      <c r="S7" s="24">
        <v>0</v>
      </c>
      <c r="X7" s="3" t="s">
        <v>14</v>
      </c>
      <c r="Y7" s="11">
        <f>(U3+U12)/Z11/2</f>
        <v>2.5247524752475248</v>
      </c>
      <c r="Z7" s="4" t="s">
        <v>22</v>
      </c>
      <c r="AA7" s="24">
        <v>0</v>
      </c>
    </row>
    <row r="8" spans="2:36" x14ac:dyDescent="0.4">
      <c r="B8" s="3" t="s">
        <v>16</v>
      </c>
      <c r="C8" s="11">
        <f>C7/(2+C7)</f>
        <v>0.61228406909788868</v>
      </c>
      <c r="D8" s="4" t="s">
        <v>23</v>
      </c>
      <c r="E8" s="24">
        <v>0</v>
      </c>
      <c r="J8" s="3" t="s">
        <v>16</v>
      </c>
      <c r="K8" s="11">
        <f>K7/(2+K7)</f>
        <v>0.61228406909788868</v>
      </c>
      <c r="L8" s="4" t="s">
        <v>23</v>
      </c>
      <c r="M8" s="24">
        <v>0</v>
      </c>
      <c r="P8" s="3" t="s">
        <v>16</v>
      </c>
      <c r="Q8" s="11">
        <f>Q7/(2+Q7)</f>
        <v>0.55798687089715537</v>
      </c>
      <c r="R8" s="4" t="s">
        <v>23</v>
      </c>
      <c r="S8" s="24">
        <v>0</v>
      </c>
      <c r="X8" s="3" t="s">
        <v>16</v>
      </c>
      <c r="Y8" s="11">
        <f>Y7/(2+Y7)</f>
        <v>0.55798687089715537</v>
      </c>
      <c r="Z8" s="4" t="s">
        <v>23</v>
      </c>
      <c r="AA8" s="24">
        <v>0</v>
      </c>
    </row>
    <row r="9" spans="2:36" x14ac:dyDescent="0.4">
      <c r="B9" s="3" t="s">
        <v>17</v>
      </c>
      <c r="C9" s="11">
        <f>C8*D11</f>
        <v>0.61840690978886759</v>
      </c>
      <c r="D9" s="4" t="s">
        <v>24</v>
      </c>
      <c r="E9" s="24">
        <v>0</v>
      </c>
      <c r="J9" s="3" t="s">
        <v>17</v>
      </c>
      <c r="K9" s="11">
        <f>K8*L11</f>
        <v>0.61840690978886759</v>
      </c>
      <c r="L9" s="4" t="s">
        <v>24</v>
      </c>
      <c r="M9" s="24">
        <v>0</v>
      </c>
      <c r="P9" s="3" t="s">
        <v>17</v>
      </c>
      <c r="Q9" s="11">
        <f>Q8*R11</f>
        <v>0.56356673960612691</v>
      </c>
      <c r="R9" s="4" t="s">
        <v>24</v>
      </c>
      <c r="S9" s="24">
        <v>0</v>
      </c>
      <c r="X9" s="3" t="s">
        <v>17</v>
      </c>
      <c r="Y9" s="11">
        <f>Y8*Z11</f>
        <v>0.56356673960612691</v>
      </c>
      <c r="Z9" s="4" t="s">
        <v>24</v>
      </c>
      <c r="AA9" s="24">
        <v>0</v>
      </c>
    </row>
    <row r="10" spans="2:36" x14ac:dyDescent="0.4">
      <c r="B10" s="3" t="s">
        <v>27</v>
      </c>
      <c r="C10" s="25">
        <f>C6*$AF$4*E5</f>
        <v>113.58611532602529</v>
      </c>
      <c r="D10" s="4" t="s">
        <v>38</v>
      </c>
      <c r="E10" s="16">
        <f>G6</f>
        <v>20.597548113852262</v>
      </c>
      <c r="J10" s="3" t="s">
        <v>27</v>
      </c>
      <c r="K10" s="25">
        <f>K6*$AF$4*M5</f>
        <v>113.58611532602529</v>
      </c>
      <c r="L10" s="4" t="s">
        <v>38</v>
      </c>
      <c r="M10" s="16">
        <f>G6</f>
        <v>20.597548113852262</v>
      </c>
      <c r="P10" s="3" t="s">
        <v>27</v>
      </c>
      <c r="Q10" s="25">
        <f>Q6*$AF$4*S5</f>
        <v>103.5133270109621</v>
      </c>
      <c r="R10" s="4" t="s">
        <v>38</v>
      </c>
      <c r="S10" s="16">
        <f>U6</f>
        <v>18.770962695690457</v>
      </c>
      <c r="X10" s="3" t="s">
        <v>27</v>
      </c>
      <c r="Y10" s="25">
        <f>Y6*$AF$4*AA5</f>
        <v>103.5133270109621</v>
      </c>
      <c r="Z10" s="4" t="s">
        <v>38</v>
      </c>
      <c r="AA10" s="16">
        <f>U6</f>
        <v>18.770962695690457</v>
      </c>
    </row>
    <row r="11" spans="2:36" x14ac:dyDescent="0.4">
      <c r="C11" s="1"/>
      <c r="D11">
        <f>固定モーメント法!D11</f>
        <v>1.01</v>
      </c>
      <c r="K11" s="1"/>
      <c r="L11">
        <f>固定モーメント法!L11</f>
        <v>1.01</v>
      </c>
      <c r="Q11" s="1"/>
      <c r="R11">
        <f>固定モーメント法!R11</f>
        <v>1.01</v>
      </c>
      <c r="Y11" s="1"/>
      <c r="Z11">
        <f>固定モーメント法!Z11</f>
        <v>1.01</v>
      </c>
    </row>
    <row r="12" spans="2:36" ht="19.5" thickBot="1" x14ac:dyDescent="0.45">
      <c r="C12" s="1"/>
      <c r="D12" s="8"/>
      <c r="E12" s="2"/>
      <c r="F12" s="2" t="s">
        <v>28</v>
      </c>
      <c r="G12" s="2">
        <f>固定モーメント法!G12</f>
        <v>3.19</v>
      </c>
      <c r="H12" s="18">
        <f>K14+K10</f>
        <v>314.89741129800427</v>
      </c>
      <c r="I12" s="2"/>
      <c r="J12" s="2"/>
      <c r="K12" s="9"/>
      <c r="M12" s="20"/>
      <c r="Q12" s="1"/>
      <c r="R12" s="8"/>
      <c r="S12" s="2"/>
      <c r="T12" s="2" t="s">
        <v>28</v>
      </c>
      <c r="U12" s="2">
        <f>固定モーメント法!U12</f>
        <v>2.5499999999999998</v>
      </c>
      <c r="V12" s="18">
        <f>Y14+Y10</f>
        <v>287.17138305299363</v>
      </c>
      <c r="W12" s="2"/>
      <c r="X12" s="2"/>
      <c r="Y12" s="9"/>
    </row>
    <row r="13" spans="2:36" x14ac:dyDescent="0.4">
      <c r="B13" s="3"/>
      <c r="C13" s="5"/>
      <c r="D13" s="6"/>
      <c r="E13" s="7"/>
      <c r="F13" s="18">
        <f>C14+C10</f>
        <v>314.89741129800427</v>
      </c>
      <c r="H13" s="26" t="s">
        <v>29</v>
      </c>
      <c r="J13" s="3"/>
      <c r="K13" s="10"/>
      <c r="L13" s="4"/>
      <c r="M13" s="7"/>
      <c r="P13" s="3"/>
      <c r="Q13" s="5"/>
      <c r="R13" s="6"/>
      <c r="S13" s="7"/>
      <c r="T13" s="18">
        <f>Q14+Q10</f>
        <v>287.17138305299363</v>
      </c>
      <c r="V13" s="26" t="s">
        <v>29</v>
      </c>
      <c r="X13" s="3"/>
      <c r="Y13" s="10"/>
      <c r="Z13" s="4"/>
      <c r="AA13" s="3"/>
    </row>
    <row r="14" spans="2:36" x14ac:dyDescent="0.4">
      <c r="B14" s="3" t="s">
        <v>26</v>
      </c>
      <c r="C14" s="25">
        <f>C15*$AF$5*(1-E14)</f>
        <v>201.31129597197898</v>
      </c>
      <c r="D14" s="4" t="s">
        <v>25</v>
      </c>
      <c r="E14" s="15">
        <f>SUM(E15:E18)</f>
        <v>0.5</v>
      </c>
      <c r="G14" t="s">
        <v>18</v>
      </c>
      <c r="H14" s="18"/>
      <c r="J14" s="3" t="s">
        <v>26</v>
      </c>
      <c r="K14" s="25">
        <f>K15*$AF$5*(1-M14)</f>
        <v>201.31129597197898</v>
      </c>
      <c r="L14" s="4" t="s">
        <v>25</v>
      </c>
      <c r="M14" s="15">
        <f>SUM(M15:M18)</f>
        <v>0.5</v>
      </c>
      <c r="P14" s="3" t="s">
        <v>26</v>
      </c>
      <c r="Q14" s="25">
        <f>Q15*$AF$5*(1-S14)</f>
        <v>183.65805604203152</v>
      </c>
      <c r="R14" s="4" t="s">
        <v>25</v>
      </c>
      <c r="S14" s="15">
        <f>SUM(S15:S18)</f>
        <v>0.5</v>
      </c>
      <c r="U14" t="s">
        <v>18</v>
      </c>
      <c r="V14" s="18"/>
      <c r="X14" s="3" t="s">
        <v>26</v>
      </c>
      <c r="Y14" s="25">
        <f>Y15*$AF$5*(1-AA14)</f>
        <v>183.65805604203152</v>
      </c>
      <c r="Z14" s="4" t="s">
        <v>25</v>
      </c>
      <c r="AA14" s="15">
        <f>SUM(AA15:AA18)</f>
        <v>0.5</v>
      </c>
    </row>
    <row r="15" spans="2:36" x14ac:dyDescent="0.4">
      <c r="B15" s="3" t="s">
        <v>18</v>
      </c>
      <c r="C15" s="13">
        <f>$AE$5/(($C18+$K18)*3+($Q18+$Y18)*2)*C18</f>
        <v>107.36602451838878</v>
      </c>
      <c r="D15" s="4" t="s">
        <v>21</v>
      </c>
      <c r="E15" s="23">
        <v>0.5</v>
      </c>
      <c r="G15" s="34">
        <f>(F13+H12)/G31</f>
        <v>46.720684168843363</v>
      </c>
      <c r="J15" s="3" t="s">
        <v>18</v>
      </c>
      <c r="K15" s="13">
        <f>$AE$5/(($C18+$K18)*3+($Q18+$Y18)*2)*K18</f>
        <v>107.36602451838878</v>
      </c>
      <c r="L15" s="4" t="s">
        <v>21</v>
      </c>
      <c r="M15" s="23">
        <v>0.5</v>
      </c>
      <c r="P15" s="3" t="s">
        <v>18</v>
      </c>
      <c r="Q15" s="13">
        <f>$AE$5/(($C18+$K18)*3+($Q18+$Y18)*2)*Q18</f>
        <v>97.950963222416803</v>
      </c>
      <c r="R15" s="4" t="s">
        <v>21</v>
      </c>
      <c r="S15" s="23">
        <v>0.5</v>
      </c>
      <c r="U15" s="34">
        <f>(T13+V12)/U31</f>
        <v>42.607030126556914</v>
      </c>
      <c r="X15" s="3" t="s">
        <v>18</v>
      </c>
      <c r="Y15" s="13">
        <f>$AE$5/(($C18+$K18)*3+($Q18+$Y18)*2)*Y18</f>
        <v>97.950963222416803</v>
      </c>
      <c r="Z15" s="4" t="s">
        <v>21</v>
      </c>
      <c r="AA15" s="23">
        <v>0.5</v>
      </c>
    </row>
    <row r="16" spans="2:36" x14ac:dyDescent="0.4">
      <c r="B16" s="3" t="s">
        <v>14</v>
      </c>
      <c r="C16" s="11">
        <f>(G12+G21)/D20/2</f>
        <v>3.2222222222222223</v>
      </c>
      <c r="D16" s="4" t="s">
        <v>22</v>
      </c>
      <c r="E16" s="24">
        <v>0</v>
      </c>
      <c r="J16" s="3" t="s">
        <v>14</v>
      </c>
      <c r="K16" s="11">
        <f>(G12+G21)/L20/2</f>
        <v>3.2222222222222223</v>
      </c>
      <c r="L16" s="4" t="s">
        <v>22</v>
      </c>
      <c r="M16" s="24">
        <v>0</v>
      </c>
      <c r="P16" s="3" t="s">
        <v>14</v>
      </c>
      <c r="Q16" s="11">
        <f>(U12+U21)/R20/2</f>
        <v>2.5757575757575757</v>
      </c>
      <c r="R16" s="4" t="s">
        <v>22</v>
      </c>
      <c r="S16" s="24">
        <v>0</v>
      </c>
      <c r="X16" s="3" t="s">
        <v>14</v>
      </c>
      <c r="Y16" s="11">
        <f>(U12+U21)/Z20/2</f>
        <v>2.5757575757575757</v>
      </c>
      <c r="Z16" s="4" t="s">
        <v>22</v>
      </c>
      <c r="AA16" s="24">
        <v>0</v>
      </c>
    </row>
    <row r="17" spans="2:27" x14ac:dyDescent="0.4">
      <c r="B17" s="3" t="s">
        <v>16</v>
      </c>
      <c r="C17" s="11">
        <f>C16/(2+C16)</f>
        <v>0.61702127659574468</v>
      </c>
      <c r="D17" s="4" t="s">
        <v>23</v>
      </c>
      <c r="E17" s="24">
        <v>0</v>
      </c>
      <c r="J17" s="3" t="s">
        <v>16</v>
      </c>
      <c r="K17" s="11">
        <f>K16/(2+K16)</f>
        <v>0.61702127659574468</v>
      </c>
      <c r="L17" s="4" t="s">
        <v>23</v>
      </c>
      <c r="M17" s="24">
        <v>0</v>
      </c>
      <c r="P17" s="3" t="s">
        <v>16</v>
      </c>
      <c r="Q17" s="11">
        <f>Q16/(2+Q16)</f>
        <v>0.5629139072847682</v>
      </c>
      <c r="R17" s="4" t="s">
        <v>23</v>
      </c>
      <c r="S17" s="24">
        <v>0</v>
      </c>
      <c r="X17" s="3" t="s">
        <v>16</v>
      </c>
      <c r="Y17" s="11">
        <f>Y16/(2+Y16)</f>
        <v>0.5629139072847682</v>
      </c>
      <c r="Z17" s="4" t="s">
        <v>23</v>
      </c>
      <c r="AA17" s="24">
        <v>0</v>
      </c>
    </row>
    <row r="18" spans="2:27" x14ac:dyDescent="0.4">
      <c r="B18" s="3" t="s">
        <v>17</v>
      </c>
      <c r="C18" s="11">
        <f>C17*D20</f>
        <v>0.61085106382978727</v>
      </c>
      <c r="D18" s="4" t="s">
        <v>24</v>
      </c>
      <c r="E18" s="24">
        <v>0</v>
      </c>
      <c r="J18" s="3" t="s">
        <v>17</v>
      </c>
      <c r="K18" s="11">
        <f>K17*L20</f>
        <v>0.61085106382978727</v>
      </c>
      <c r="L18" s="4" t="s">
        <v>24</v>
      </c>
      <c r="M18" s="24">
        <v>0</v>
      </c>
      <c r="P18" s="3" t="s">
        <v>17</v>
      </c>
      <c r="Q18" s="11">
        <f>Q17*R20</f>
        <v>0.55728476821192052</v>
      </c>
      <c r="R18" s="4" t="s">
        <v>24</v>
      </c>
      <c r="S18" s="24">
        <v>0</v>
      </c>
      <c r="X18" s="3" t="s">
        <v>17</v>
      </c>
      <c r="Y18" s="11">
        <f>Y17*Z20</f>
        <v>0.55728476821192052</v>
      </c>
      <c r="Z18" s="4" t="s">
        <v>24</v>
      </c>
      <c r="AA18" s="24">
        <v>0</v>
      </c>
    </row>
    <row r="19" spans="2:27" x14ac:dyDescent="0.4">
      <c r="B19" s="3" t="s">
        <v>27</v>
      </c>
      <c r="C19" s="25">
        <f>C15*$AF$5*E14</f>
        <v>201.31129597197898</v>
      </c>
      <c r="D19" s="4" t="s">
        <v>38</v>
      </c>
      <c r="E19" s="16">
        <f>G15+E10</f>
        <v>67.318232282695618</v>
      </c>
      <c r="J19" s="3" t="s">
        <v>27</v>
      </c>
      <c r="K19" s="25">
        <f>K15*$AF$5*M14</f>
        <v>201.31129597197898</v>
      </c>
      <c r="L19" s="4" t="s">
        <v>38</v>
      </c>
      <c r="M19" s="16">
        <f>G15+M10</f>
        <v>67.318232282695618</v>
      </c>
      <c r="P19" s="3" t="s">
        <v>27</v>
      </c>
      <c r="Q19" s="25">
        <f>Q15*$AF$5*S14</f>
        <v>183.65805604203152</v>
      </c>
      <c r="R19" s="4" t="s">
        <v>38</v>
      </c>
      <c r="S19" s="16">
        <f>U15+S10</f>
        <v>61.377992822247371</v>
      </c>
      <c r="X19" s="3" t="s">
        <v>27</v>
      </c>
      <c r="Y19" s="25">
        <f>Y15*$AF$5*AA14</f>
        <v>183.65805604203152</v>
      </c>
      <c r="Z19" s="4" t="s">
        <v>38</v>
      </c>
      <c r="AA19" s="16">
        <f>U15+AA10</f>
        <v>61.377992822247371</v>
      </c>
    </row>
    <row r="20" spans="2:27" x14ac:dyDescent="0.4">
      <c r="C20" s="1"/>
      <c r="D20">
        <f>固定モーメント法!D20</f>
        <v>0.99</v>
      </c>
      <c r="K20" s="1"/>
      <c r="L20">
        <f>固定モーメント法!L20</f>
        <v>0.99</v>
      </c>
      <c r="Q20" s="1"/>
      <c r="R20">
        <f>固定モーメント法!R20</f>
        <v>0.99</v>
      </c>
      <c r="Y20" s="1"/>
      <c r="Z20">
        <f>固定モーメント法!Z20</f>
        <v>0.99</v>
      </c>
    </row>
    <row r="21" spans="2:27" ht="19.5" thickBot="1" x14ac:dyDescent="0.45">
      <c r="C21" s="1"/>
      <c r="D21" s="8"/>
      <c r="E21" s="2"/>
      <c r="F21" s="2" t="s">
        <v>28</v>
      </c>
      <c r="G21" s="2">
        <f>固定モーメント法!G21</f>
        <v>3.19</v>
      </c>
      <c r="H21" s="18">
        <f>K23+K19</f>
        <v>442.73457677483918</v>
      </c>
      <c r="I21" s="2"/>
      <c r="J21" s="2"/>
      <c r="K21" s="9"/>
      <c r="M21" s="20"/>
      <c r="Q21" s="1"/>
      <c r="R21" s="8"/>
      <c r="S21" s="2"/>
      <c r="T21" s="2" t="s">
        <v>28</v>
      </c>
      <c r="U21" s="2">
        <f>固定モーメント法!U21</f>
        <v>2.5499999999999998</v>
      </c>
      <c r="V21" s="18">
        <f>Y23+Y19</f>
        <v>410.53938483774107</v>
      </c>
      <c r="W21" s="2"/>
      <c r="X21" s="2"/>
      <c r="Y21" s="9"/>
    </row>
    <row r="22" spans="2:27" x14ac:dyDescent="0.4">
      <c r="B22" s="3"/>
      <c r="C22" s="5"/>
      <c r="D22" s="6"/>
      <c r="E22" s="7"/>
      <c r="F22" s="18">
        <f>C23+C19</f>
        <v>442.73457677483918</v>
      </c>
      <c r="H22" s="26" t="s">
        <v>29</v>
      </c>
      <c r="J22" s="3"/>
      <c r="K22" s="10"/>
      <c r="L22" s="4"/>
      <c r="M22" s="7"/>
      <c r="P22" s="3"/>
      <c r="Q22" s="5"/>
      <c r="R22" s="6"/>
      <c r="S22" s="7"/>
      <c r="T22" s="18">
        <f>Q23+Q19</f>
        <v>410.53938483774107</v>
      </c>
      <c r="V22" s="26" t="s">
        <v>29</v>
      </c>
      <c r="X22" s="3"/>
      <c r="Y22" s="10"/>
      <c r="Z22" s="4"/>
      <c r="AA22" s="3"/>
    </row>
    <row r="23" spans="2:27" x14ac:dyDescent="0.4">
      <c r="B23" s="3" t="s">
        <v>26</v>
      </c>
      <c r="C23" s="25">
        <f>C24*$AF$6*(1-E23)</f>
        <v>241.42328080286021</v>
      </c>
      <c r="D23" s="4" t="s">
        <v>25</v>
      </c>
      <c r="E23" s="15">
        <f>SUM(E24:E27)</f>
        <v>0.55000000000000004</v>
      </c>
      <c r="G23" t="s">
        <v>18</v>
      </c>
      <c r="H23" s="18"/>
      <c r="J23" s="3" t="s">
        <v>26</v>
      </c>
      <c r="K23" s="25">
        <f>K24*$AF$6*(1-M23)</f>
        <v>241.42328080286021</v>
      </c>
      <c r="L23" s="4" t="s">
        <v>25</v>
      </c>
      <c r="M23" s="15">
        <f>SUM(M24:M27)</f>
        <v>0.55000000000000004</v>
      </c>
      <c r="P23" s="3" t="s">
        <v>26</v>
      </c>
      <c r="Q23" s="25">
        <f>Q24*$AF$6*(1-S23)</f>
        <v>226.88132879570958</v>
      </c>
      <c r="R23" s="4" t="s">
        <v>25</v>
      </c>
      <c r="S23" s="15">
        <f>SUM(S24:S27)</f>
        <v>0.55000000000000004</v>
      </c>
      <c r="U23" t="s">
        <v>18</v>
      </c>
      <c r="V23" s="18"/>
      <c r="X23" s="3" t="s">
        <v>26</v>
      </c>
      <c r="Y23" s="25">
        <f>Y24*$AF$6*(1-AA23)</f>
        <v>226.88132879570958</v>
      </c>
      <c r="Z23" s="4" t="s">
        <v>25</v>
      </c>
      <c r="AA23" s="15">
        <f>SUM(AA24:AA27)</f>
        <v>0.55000000000000004</v>
      </c>
    </row>
    <row r="24" spans="2:27" x14ac:dyDescent="0.4">
      <c r="B24" s="3" t="s">
        <v>18</v>
      </c>
      <c r="C24" s="13">
        <f>$AE$6/(($C27+$K27)*3+($Q27+$Y27)*2)*C27</f>
        <v>130.85272672241749</v>
      </c>
      <c r="D24" s="4" t="s">
        <v>21</v>
      </c>
      <c r="E24" s="23">
        <v>0.55000000000000004</v>
      </c>
      <c r="G24" s="34">
        <f>(F22+H21)/G31</f>
        <v>65.687622666890078</v>
      </c>
      <c r="J24" s="3" t="s">
        <v>18</v>
      </c>
      <c r="K24" s="13">
        <f>$AE$6/(($C27+$K27)*3+($Q27+$Y27)*2)*K27</f>
        <v>130.85272672241749</v>
      </c>
      <c r="L24" s="4" t="s">
        <v>21</v>
      </c>
      <c r="M24" s="23">
        <v>0.55000000000000004</v>
      </c>
      <c r="P24" s="3" t="s">
        <v>18</v>
      </c>
      <c r="Q24" s="13">
        <f>$AE$6/(($C27+$K27)*3+($Q27+$Y27)*2)*Q27</f>
        <v>122.97090991637378</v>
      </c>
      <c r="R24" s="4" t="s">
        <v>21</v>
      </c>
      <c r="S24" s="23">
        <v>0.55000000000000004</v>
      </c>
      <c r="U24" s="34">
        <f>(T22+V21)/U31</f>
        <v>60.910887958121819</v>
      </c>
      <c r="X24" s="3" t="s">
        <v>18</v>
      </c>
      <c r="Y24" s="13">
        <f>$AE$6/(($C27+$K27)*3+($Q27+$Y27)*2)*Y27</f>
        <v>122.97090991637378</v>
      </c>
      <c r="Z24" s="4" t="s">
        <v>21</v>
      </c>
      <c r="AA24" s="23">
        <v>0.55000000000000004</v>
      </c>
    </row>
    <row r="25" spans="2:27" x14ac:dyDescent="0.4">
      <c r="B25" s="3" t="s">
        <v>14</v>
      </c>
      <c r="C25" s="45">
        <f>(G21+G30)/2/D29</f>
        <v>2.690833556687215</v>
      </c>
      <c r="D25" s="4" t="s">
        <v>22</v>
      </c>
      <c r="E25" s="24">
        <v>0</v>
      </c>
      <c r="J25" s="3" t="s">
        <v>13</v>
      </c>
      <c r="K25" s="11">
        <f>(G21+G30)/2/L29</f>
        <v>2.690833556687215</v>
      </c>
      <c r="L25" s="4" t="s">
        <v>22</v>
      </c>
      <c r="M25" s="24">
        <v>0</v>
      </c>
      <c r="P25" s="3" t="s">
        <v>14</v>
      </c>
      <c r="Q25" s="11">
        <f>(U21+U30)/2/R29</f>
        <v>2.3391852050388633</v>
      </c>
      <c r="R25" s="4" t="s">
        <v>22</v>
      </c>
      <c r="S25" s="24">
        <v>0</v>
      </c>
      <c r="X25" s="3" t="s">
        <v>13</v>
      </c>
      <c r="Y25" s="11">
        <f>(U21+U30)/2/Z29</f>
        <v>2.3391852050388633</v>
      </c>
      <c r="Z25" s="4" t="s">
        <v>22</v>
      </c>
      <c r="AA25" s="24">
        <v>0</v>
      </c>
    </row>
    <row r="26" spans="2:27" x14ac:dyDescent="0.4">
      <c r="B26" s="3" t="s">
        <v>16</v>
      </c>
      <c r="C26" s="11">
        <f>C25/(2+C25)</f>
        <v>0.57363654543896236</v>
      </c>
      <c r="D26" s="4" t="s">
        <v>23</v>
      </c>
      <c r="E26" s="24">
        <v>0</v>
      </c>
      <c r="J26" s="3" t="s">
        <v>16</v>
      </c>
      <c r="K26" s="11">
        <f>K25/(2+K25)</f>
        <v>0.57363654543896236</v>
      </c>
      <c r="L26" s="4" t="s">
        <v>23</v>
      </c>
      <c r="M26" s="24">
        <v>0</v>
      </c>
      <c r="P26" s="3" t="s">
        <v>16</v>
      </c>
      <c r="Q26" s="11">
        <f>Q25/(2+Q25)</f>
        <v>0.53908397418079623</v>
      </c>
      <c r="R26" s="4" t="s">
        <v>23</v>
      </c>
      <c r="S26" s="24">
        <v>0</v>
      </c>
      <c r="X26" s="3" t="s">
        <v>16</v>
      </c>
      <c r="Y26" s="11">
        <f>Y25/(2+Y25)</f>
        <v>0.53908397418079623</v>
      </c>
      <c r="Z26" s="4" t="s">
        <v>23</v>
      </c>
      <c r="AA26" s="24">
        <v>0</v>
      </c>
    </row>
    <row r="27" spans="2:27" x14ac:dyDescent="0.4">
      <c r="B27" s="3" t="s">
        <v>17</v>
      </c>
      <c r="C27" s="11">
        <f>C26*D29</f>
        <v>0.52200925634945572</v>
      </c>
      <c r="D27" s="4" t="s">
        <v>24</v>
      </c>
      <c r="E27" s="24">
        <v>0</v>
      </c>
      <c r="J27" s="3" t="s">
        <v>17</v>
      </c>
      <c r="K27" s="11">
        <f>K26*L29</f>
        <v>0.52200925634945572</v>
      </c>
      <c r="L27" s="4" t="s">
        <v>24</v>
      </c>
      <c r="M27" s="24">
        <v>0</v>
      </c>
      <c r="P27" s="3" t="s">
        <v>17</v>
      </c>
      <c r="Q27" s="11">
        <f>Q26*R29</f>
        <v>0.49056641650452459</v>
      </c>
      <c r="R27" s="4" t="s">
        <v>24</v>
      </c>
      <c r="S27" s="24">
        <v>0</v>
      </c>
      <c r="X27" s="3" t="s">
        <v>17</v>
      </c>
      <c r="Y27" s="11">
        <f>Y26*Z29</f>
        <v>0.49056641650452459</v>
      </c>
      <c r="Z27" s="4" t="s">
        <v>24</v>
      </c>
      <c r="AA27" s="24">
        <v>0</v>
      </c>
    </row>
    <row r="28" spans="2:27" x14ac:dyDescent="0.4">
      <c r="B28" s="3" t="s">
        <v>27</v>
      </c>
      <c r="C28" s="25">
        <f>C24*$AF$6*E23</f>
        <v>295.07289875905144</v>
      </c>
      <c r="D28" s="4" t="s">
        <v>38</v>
      </c>
      <c r="E28" s="16">
        <f>G24+E19</f>
        <v>133.00585494958568</v>
      </c>
      <c r="J28" s="3" t="s">
        <v>27</v>
      </c>
      <c r="K28" s="25">
        <f>K24*$AF$6*M23</f>
        <v>295.07289875905144</v>
      </c>
      <c r="L28" s="4" t="s">
        <v>38</v>
      </c>
      <c r="M28" s="16">
        <f>G24+M19</f>
        <v>133.00585494958568</v>
      </c>
      <c r="P28" s="3" t="s">
        <v>27</v>
      </c>
      <c r="Q28" s="25">
        <f>Q24*$AF$6*S23</f>
        <v>277.29940186142289</v>
      </c>
      <c r="R28" s="4" t="s">
        <v>38</v>
      </c>
      <c r="S28" s="16">
        <f>U24+S19</f>
        <v>122.2888807803692</v>
      </c>
      <c r="X28" s="3" t="s">
        <v>27</v>
      </c>
      <c r="Y28" s="25">
        <f>Y24*$AF$6*AA23</f>
        <v>277.29940186142289</v>
      </c>
      <c r="Z28" s="4" t="s">
        <v>38</v>
      </c>
      <c r="AA28" s="16">
        <f>U24+AA19</f>
        <v>122.2888807803692</v>
      </c>
    </row>
    <row r="29" spans="2:27" x14ac:dyDescent="0.4">
      <c r="C29" s="1"/>
      <c r="D29">
        <f>固定モーメント法!D29</f>
        <v>0.91</v>
      </c>
      <c r="G29" s="40">
        <f>G21/G30</f>
        <v>1.8684285714285715</v>
      </c>
      <c r="H29" s="40">
        <f>1/G29</f>
        <v>0.53520911384662428</v>
      </c>
      <c r="K29" s="1"/>
      <c r="L29">
        <f>固定モーメント法!L29</f>
        <v>0.91</v>
      </c>
      <c r="Q29" s="1"/>
      <c r="R29">
        <f>固定モーメント法!R29</f>
        <v>0.91</v>
      </c>
      <c r="U29" s="40">
        <f>U21/U30</f>
        <v>1.4935714285714285</v>
      </c>
      <c r="V29" s="44">
        <f>1/U29</f>
        <v>0.66953610712577716</v>
      </c>
      <c r="Y29" s="1"/>
      <c r="Z29">
        <f>固定モーメント法!Z29</f>
        <v>0.91</v>
      </c>
    </row>
    <row r="30" spans="2:27" x14ac:dyDescent="0.4">
      <c r="C30" s="1"/>
      <c r="G30" s="40">
        <f>基礎梁成と変形関係!E6/10^5</f>
        <v>1.7073170731707317</v>
      </c>
      <c r="K30" s="1"/>
      <c r="Q30" s="1"/>
      <c r="U30" s="40">
        <f>基礎梁成と変形関係!E6/10^5</f>
        <v>1.7073170731707317</v>
      </c>
      <c r="Y30" s="1"/>
    </row>
    <row r="31" spans="2:27" x14ac:dyDescent="0.4">
      <c r="D31" s="18"/>
      <c r="F31" t="s">
        <v>37</v>
      </c>
      <c r="G31">
        <v>13.48</v>
      </c>
      <c r="L31" s="18"/>
      <c r="R31" s="18"/>
      <c r="U31">
        <v>13.48</v>
      </c>
      <c r="Z31" s="18"/>
    </row>
    <row r="34" spans="2:37" ht="19.5" thickBot="1" x14ac:dyDescent="0.45">
      <c r="D34" s="2"/>
      <c r="E34" s="2"/>
      <c r="F34" s="2" t="s">
        <v>28</v>
      </c>
      <c r="G34" s="2">
        <f>固定モーメント法!G34</f>
        <v>1</v>
      </c>
      <c r="H34" s="18">
        <f>(K36+K32)/(G34+O34)*G34</f>
        <v>86.295634898609521</v>
      </c>
      <c r="I34" s="2"/>
      <c r="J34" s="2"/>
      <c r="K34" s="2"/>
      <c r="L34" s="2"/>
      <c r="M34" s="2"/>
      <c r="N34" s="2" t="s">
        <v>28</v>
      </c>
      <c r="O34" s="2">
        <f>固定モーメント法!O34</f>
        <v>0.99</v>
      </c>
      <c r="P34" s="18">
        <f>(S36+S32)/(O34+W34)*O34</f>
        <v>85.723908714035545</v>
      </c>
      <c r="Q34" s="2"/>
      <c r="R34" s="2"/>
      <c r="T34" s="2"/>
      <c r="U34" s="2"/>
      <c r="V34" s="2" t="s">
        <v>28</v>
      </c>
      <c r="W34" s="2">
        <f>固定モーメント法!W34</f>
        <v>0.99</v>
      </c>
      <c r="X34" s="18">
        <f>(AA36+AA32)/(W34+AE34)*W34</f>
        <v>85.432678549623404</v>
      </c>
      <c r="Y34" s="2"/>
      <c r="Z34" s="2"/>
      <c r="AB34" s="2"/>
      <c r="AC34" s="2"/>
      <c r="AD34" s="2" t="s">
        <v>28</v>
      </c>
      <c r="AE34" s="2">
        <f>固定モーメント法!AE34</f>
        <v>1</v>
      </c>
      <c r="AF34" s="18">
        <f>(AI36+AI32)/(AE34+AM34)*AE34</f>
        <v>112.49931004082369</v>
      </c>
      <c r="AG34" s="2"/>
      <c r="AH34" s="2"/>
      <c r="AI34" s="2"/>
    </row>
    <row r="35" spans="2:37" x14ac:dyDescent="0.4">
      <c r="B35" s="3"/>
      <c r="C35" s="5"/>
      <c r="D35" s="6"/>
      <c r="E35" s="7"/>
      <c r="F35" s="18">
        <f>C36+C32</f>
        <v>112.49931004082369</v>
      </c>
      <c r="H35" s="26" t="s">
        <v>29</v>
      </c>
      <c r="J35" s="3"/>
      <c r="K35" s="10"/>
      <c r="L35" s="6"/>
      <c r="M35" s="7"/>
      <c r="N35" s="18">
        <f>(K36+K32)/(G34+O34)*O34</f>
        <v>85.432678549623418</v>
      </c>
      <c r="P35" s="26" t="s">
        <v>29</v>
      </c>
      <c r="R35" s="3"/>
      <c r="S35" s="10"/>
      <c r="T35" s="6"/>
      <c r="U35" s="7"/>
      <c r="V35" s="18">
        <f>(S36+S32)/(O34+W34)*W34</f>
        <v>85.723908714035545</v>
      </c>
      <c r="X35" s="26" t="s">
        <v>29</v>
      </c>
      <c r="Z35" s="3"/>
      <c r="AA35" s="10"/>
      <c r="AB35" s="6"/>
      <c r="AC35" s="7"/>
      <c r="AD35" s="18">
        <f>(AA36+AA32)/(W34+AE34)*AE34</f>
        <v>86.295634898609507</v>
      </c>
      <c r="AF35" s="26" t="s">
        <v>29</v>
      </c>
      <c r="AH35" s="3"/>
      <c r="AI35" s="10"/>
      <c r="AJ35" s="4"/>
      <c r="AK35" s="3"/>
    </row>
    <row r="36" spans="2:37" x14ac:dyDescent="0.4">
      <c r="B36" s="3" t="s">
        <v>26</v>
      </c>
      <c r="C36" s="25">
        <f>C37*$AF$4*(1-E36)</f>
        <v>112.49931004082369</v>
      </c>
      <c r="D36" s="4" t="s">
        <v>25</v>
      </c>
      <c r="E36" s="15">
        <f>SUM(E37:E40)</f>
        <v>0.4</v>
      </c>
      <c r="G36" t="s">
        <v>18</v>
      </c>
      <c r="H36" s="18"/>
      <c r="J36" s="3" t="s">
        <v>26</v>
      </c>
      <c r="K36" s="25">
        <f>K37*$AF$6*(1-M36)</f>
        <v>171.72831344823294</v>
      </c>
      <c r="L36" s="4" t="s">
        <v>25</v>
      </c>
      <c r="M36" s="15">
        <f>SUM(M37:M40)</f>
        <v>0.44850000000000001</v>
      </c>
      <c r="N36" s="30"/>
      <c r="O36" t="s">
        <v>18</v>
      </c>
      <c r="P36" s="18"/>
      <c r="R36" s="3" t="s">
        <v>26</v>
      </c>
      <c r="S36" s="25">
        <f>S37*$AF$6*(1-U36)</f>
        <v>171.44781742807109</v>
      </c>
      <c r="T36" s="4" t="s">
        <v>25</v>
      </c>
      <c r="U36" s="15">
        <f>SUM(U37:U40)</f>
        <v>0.44800000000000001</v>
      </c>
      <c r="V36" s="30"/>
      <c r="W36" t="s">
        <v>18</v>
      </c>
      <c r="X36" s="18"/>
      <c r="Z36" s="3" t="s">
        <v>26</v>
      </c>
      <c r="AA36" s="25">
        <f>AA37*$AF$6*(1-AC36)</f>
        <v>171.72831344823291</v>
      </c>
      <c r="AB36" s="4" t="s">
        <v>25</v>
      </c>
      <c r="AC36" s="15">
        <f>SUM(AC37:AC40)</f>
        <v>0.44850000000000001</v>
      </c>
      <c r="AD36" s="30"/>
      <c r="AE36" t="s">
        <v>18</v>
      </c>
      <c r="AF36" s="18"/>
      <c r="AH36" s="3" t="s">
        <v>26</v>
      </c>
      <c r="AI36" s="25">
        <f>AI37*$AF$4*(1-AK36)</f>
        <v>112.49931004082369</v>
      </c>
      <c r="AJ36" s="4" t="s">
        <v>25</v>
      </c>
      <c r="AK36" s="15">
        <f>SUM(AK37:AK40)</f>
        <v>0.4</v>
      </c>
    </row>
    <row r="37" spans="2:37" x14ac:dyDescent="0.4">
      <c r="B37" s="3" t="s">
        <v>18</v>
      </c>
      <c r="C37" s="13">
        <f>$AE$4/($C40+$K40+$S40+$AA40+$AI40)/2*C40</f>
        <v>50.675364883253913</v>
      </c>
      <c r="D37" s="4" t="s">
        <v>21</v>
      </c>
      <c r="E37" s="23">
        <v>0.4</v>
      </c>
      <c r="G37" s="34">
        <f>(F35+H34)/G63</f>
        <v>35.247330663020072</v>
      </c>
      <c r="J37" s="3" t="s">
        <v>18</v>
      </c>
      <c r="K37" s="13">
        <f>$AE$4/($C40+$K40+$S40+$AA40+$AI40)/2*K40</f>
        <v>75.947333634757953</v>
      </c>
      <c r="L37" s="4" t="s">
        <v>21</v>
      </c>
      <c r="M37" s="23">
        <v>0.44850000000000001</v>
      </c>
      <c r="N37" s="28"/>
      <c r="O37" s="34">
        <f>(N35+P34)/O63</f>
        <v>30.027471449764729</v>
      </c>
      <c r="R37" s="3" t="s">
        <v>18</v>
      </c>
      <c r="S37" s="13">
        <f>$AE$4/($C40+$K40+$S40+$AA40+$AI40)/2*S40</f>
        <v>75.754602963976268</v>
      </c>
      <c r="T37" s="4" t="s">
        <v>21</v>
      </c>
      <c r="U37" s="23">
        <v>0.44800000000000001</v>
      </c>
      <c r="V37" s="28"/>
      <c r="W37" s="34">
        <f>(V35+X34)/W63</f>
        <v>30.027471449764725</v>
      </c>
      <c r="Z37" s="3" t="s">
        <v>18</v>
      </c>
      <c r="AA37" s="13">
        <f>$AE$4/($C40+$K40+$S40+$AA40+$AI40)/2*AA40</f>
        <v>75.947333634757939</v>
      </c>
      <c r="AB37" s="4" t="s">
        <v>21</v>
      </c>
      <c r="AC37" s="23">
        <v>0.44850000000000001</v>
      </c>
      <c r="AD37" s="28"/>
      <c r="AE37" s="34">
        <f>(AD35+AF34)/AE63</f>
        <v>35.247330663020072</v>
      </c>
      <c r="AH37" s="3" t="s">
        <v>18</v>
      </c>
      <c r="AI37" s="13">
        <f>$AE$4/($C40+$K40+$S40+$AA40+$AI40)/2*AI40</f>
        <v>50.675364883253913</v>
      </c>
      <c r="AJ37" s="4" t="s">
        <v>21</v>
      </c>
      <c r="AK37" s="23">
        <v>0.4</v>
      </c>
    </row>
    <row r="38" spans="2:37" x14ac:dyDescent="0.4">
      <c r="B38" s="3" t="s">
        <v>14</v>
      </c>
      <c r="C38" s="11">
        <f>(G34+G43)/D42/2</f>
        <v>0.99009900990099009</v>
      </c>
      <c r="D38" s="4" t="s">
        <v>22</v>
      </c>
      <c r="E38" s="24">
        <v>0</v>
      </c>
      <c r="J38" s="3" t="s">
        <v>14</v>
      </c>
      <c r="K38" s="11">
        <f>(O34+G34+G43+O43)/2/L42</f>
        <v>1.9702970297029705</v>
      </c>
      <c r="L38" s="4" t="s">
        <v>22</v>
      </c>
      <c r="M38" s="24">
        <v>0</v>
      </c>
      <c r="N38" s="29"/>
      <c r="R38" s="3" t="s">
        <v>14</v>
      </c>
      <c r="S38" s="11">
        <f>(W34+O34+O43+W43)/2/T42</f>
        <v>1.9603960396039604</v>
      </c>
      <c r="T38" s="4" t="s">
        <v>22</v>
      </c>
      <c r="U38" s="24">
        <v>0</v>
      </c>
      <c r="V38" s="29"/>
      <c r="Z38" s="3" t="s">
        <v>14</v>
      </c>
      <c r="AA38" s="11">
        <f>(AE34+W34+W43+AE43)/2/AB42</f>
        <v>1.9702970297029703</v>
      </c>
      <c r="AB38" s="4" t="s">
        <v>22</v>
      </c>
      <c r="AC38" s="24">
        <v>0</v>
      </c>
      <c r="AD38" s="29"/>
      <c r="AH38" s="3" t="s">
        <v>14</v>
      </c>
      <c r="AI38" s="11">
        <f>(AE34+AE43)/AJ42/2</f>
        <v>0.99009900990099009</v>
      </c>
      <c r="AJ38" s="4" t="s">
        <v>22</v>
      </c>
      <c r="AK38" s="24">
        <v>0</v>
      </c>
    </row>
    <row r="39" spans="2:37" x14ac:dyDescent="0.4">
      <c r="B39" s="3" t="s">
        <v>16</v>
      </c>
      <c r="C39" s="11">
        <f>C38/(2+C38)</f>
        <v>0.33112582781456956</v>
      </c>
      <c r="D39" s="4" t="s">
        <v>23</v>
      </c>
      <c r="E39" s="24">
        <v>0</v>
      </c>
      <c r="J39" s="3" t="s">
        <v>16</v>
      </c>
      <c r="K39" s="11">
        <f>K38/(2+K38)</f>
        <v>0.4962593516209477</v>
      </c>
      <c r="L39" s="4" t="s">
        <v>23</v>
      </c>
      <c r="M39" s="24">
        <v>0</v>
      </c>
      <c r="N39" s="29"/>
      <c r="R39" s="3" t="s">
        <v>16</v>
      </c>
      <c r="S39" s="11">
        <f>S38/(2+S38)</f>
        <v>0.495</v>
      </c>
      <c r="T39" s="4" t="s">
        <v>23</v>
      </c>
      <c r="U39" s="24">
        <v>0</v>
      </c>
      <c r="V39" s="29"/>
      <c r="Z39" s="3" t="s">
        <v>16</v>
      </c>
      <c r="AA39" s="11">
        <f>AA38/(2+AA38)</f>
        <v>0.49625935162094764</v>
      </c>
      <c r="AB39" s="4" t="s">
        <v>23</v>
      </c>
      <c r="AC39" s="24">
        <v>0</v>
      </c>
      <c r="AD39" s="29"/>
      <c r="AH39" s="3" t="s">
        <v>16</v>
      </c>
      <c r="AI39" s="11">
        <f>AI38/(2+AI38)</f>
        <v>0.33112582781456956</v>
      </c>
      <c r="AJ39" s="4" t="s">
        <v>23</v>
      </c>
      <c r="AK39" s="24">
        <v>0</v>
      </c>
    </row>
    <row r="40" spans="2:37" x14ac:dyDescent="0.4">
      <c r="B40" s="3" t="s">
        <v>17</v>
      </c>
      <c r="C40" s="11">
        <f>C39*D42</f>
        <v>0.33443708609271527</v>
      </c>
      <c r="D40" s="4" t="s">
        <v>24</v>
      </c>
      <c r="E40" s="24">
        <v>0</v>
      </c>
      <c r="J40" s="3" t="s">
        <v>17</v>
      </c>
      <c r="K40" s="11">
        <f>K39*L42</f>
        <v>0.50122194513715723</v>
      </c>
      <c r="L40" s="4" t="s">
        <v>24</v>
      </c>
      <c r="M40" s="24">
        <v>0</v>
      </c>
      <c r="N40" s="29"/>
      <c r="R40" s="3" t="s">
        <v>17</v>
      </c>
      <c r="S40" s="11">
        <f>S39*T42</f>
        <v>0.49995000000000001</v>
      </c>
      <c r="T40" s="4" t="s">
        <v>24</v>
      </c>
      <c r="U40" s="24">
        <v>0</v>
      </c>
      <c r="V40" s="29"/>
      <c r="Z40" s="3" t="s">
        <v>17</v>
      </c>
      <c r="AA40" s="11">
        <f>AA39*AB42</f>
        <v>0.50122194513715712</v>
      </c>
      <c r="AB40" s="4" t="s">
        <v>24</v>
      </c>
      <c r="AC40" s="24">
        <v>0</v>
      </c>
      <c r="AD40" s="29"/>
      <c r="AH40" s="3" t="s">
        <v>17</v>
      </c>
      <c r="AI40" s="11">
        <f>AI39*AJ42</f>
        <v>0.33443708609271527</v>
      </c>
      <c r="AJ40" s="4" t="s">
        <v>24</v>
      </c>
      <c r="AK40" s="24">
        <v>0</v>
      </c>
    </row>
    <row r="41" spans="2:37" x14ac:dyDescent="0.4">
      <c r="B41" s="3" t="s">
        <v>27</v>
      </c>
      <c r="C41" s="25">
        <f>C37*$AF$4*E36</f>
        <v>74.999540027215787</v>
      </c>
      <c r="D41" s="4" t="s">
        <v>38</v>
      </c>
      <c r="E41" s="16">
        <f>G37</f>
        <v>35.247330663020072</v>
      </c>
      <c r="J41" s="3" t="s">
        <v>27</v>
      </c>
      <c r="K41" s="25">
        <f>K37*$AF$6*M36</f>
        <v>139.65575445427464</v>
      </c>
      <c r="L41" s="4" t="s">
        <v>38</v>
      </c>
      <c r="M41" s="16">
        <f>O37-G37</f>
        <v>-5.2198592132553436</v>
      </c>
      <c r="N41" s="29"/>
      <c r="R41" s="3" t="s">
        <v>27</v>
      </c>
      <c r="S41" s="25">
        <f>S37*$AF$6*U36</f>
        <v>139.14605472423159</v>
      </c>
      <c r="T41" s="4" t="s">
        <v>38</v>
      </c>
      <c r="U41" s="16">
        <f>W37-O37</f>
        <v>0</v>
      </c>
      <c r="V41" s="29"/>
      <c r="Z41" s="3" t="s">
        <v>27</v>
      </c>
      <c r="AA41" s="25">
        <f>AA37*$AF$6*AC36</f>
        <v>139.65575445427461</v>
      </c>
      <c r="AB41" s="4" t="s">
        <v>38</v>
      </c>
      <c r="AC41" s="16">
        <f>AE37-W37</f>
        <v>5.2198592132553472</v>
      </c>
      <c r="AD41" s="29"/>
      <c r="AH41" s="3" t="s">
        <v>27</v>
      </c>
      <c r="AI41" s="25">
        <f>AI37*$AF$4*AK36</f>
        <v>74.999540027215787</v>
      </c>
      <c r="AJ41" s="4" t="s">
        <v>38</v>
      </c>
      <c r="AK41" s="16">
        <f>AE37</f>
        <v>35.247330663020072</v>
      </c>
    </row>
    <row r="42" spans="2:37" x14ac:dyDescent="0.4">
      <c r="C42" s="1"/>
      <c r="D42">
        <f>固定モーメント法!D42</f>
        <v>1.01</v>
      </c>
      <c r="K42" s="1"/>
      <c r="L42">
        <f>固定モーメント法!L42</f>
        <v>1.01</v>
      </c>
      <c r="S42" s="1"/>
      <c r="T42">
        <f>固定モーメント法!T42</f>
        <v>1.01</v>
      </c>
      <c r="AA42" s="1"/>
      <c r="AB42">
        <f>固定モーメント法!AB42</f>
        <v>1.01</v>
      </c>
      <c r="AI42" s="1"/>
      <c r="AJ42">
        <f>固定モーメント法!AJ42</f>
        <v>1.01</v>
      </c>
    </row>
    <row r="43" spans="2:37" ht="19.5" thickBot="1" x14ac:dyDescent="0.45">
      <c r="C43" s="1"/>
      <c r="D43" s="8"/>
      <c r="E43" s="2"/>
      <c r="F43" s="2" t="s">
        <v>28</v>
      </c>
      <c r="G43" s="2">
        <f>固定モーメント法!G43</f>
        <v>1</v>
      </c>
      <c r="H43" s="18">
        <f>(K45+K41)/(G43+O43)*G43</f>
        <v>193.2344141332934</v>
      </c>
      <c r="I43" s="2"/>
      <c r="J43" s="2"/>
      <c r="K43" s="9"/>
      <c r="L43" s="8"/>
      <c r="M43" s="2"/>
      <c r="N43" s="2" t="s">
        <v>28</v>
      </c>
      <c r="O43" s="2">
        <f>固定モーメント法!O43</f>
        <v>0.99</v>
      </c>
      <c r="P43" s="18">
        <f>(S45+S41)/(O43+W43)*O43</f>
        <v>191.70575308997851</v>
      </c>
      <c r="Q43" s="2"/>
      <c r="R43" s="2"/>
      <c r="S43" s="9"/>
      <c r="T43" s="8"/>
      <c r="U43" s="2"/>
      <c r="V43" s="2" t="s">
        <v>28</v>
      </c>
      <c r="W43" s="2">
        <f>固定モーメント法!W43</f>
        <v>0.99</v>
      </c>
      <c r="X43" s="18">
        <f>(AA45+AA41)/(W43+AE43)*W43</f>
        <v>191.30206999196039</v>
      </c>
      <c r="Y43" s="2"/>
      <c r="Z43" s="2"/>
      <c r="AA43" s="9"/>
      <c r="AB43" s="8"/>
      <c r="AC43" s="2"/>
      <c r="AD43" s="2" t="s">
        <v>28</v>
      </c>
      <c r="AE43" s="2">
        <f>固定モーメント法!AE43</f>
        <v>1</v>
      </c>
      <c r="AF43" s="18">
        <f>(AI45+AI41)/(AE43+AM43)*AE43</f>
        <v>238.43627808995564</v>
      </c>
      <c r="AG43" s="2"/>
      <c r="AH43" s="2"/>
      <c r="AI43" s="9"/>
      <c r="AK43" s="20"/>
    </row>
    <row r="44" spans="2:37" x14ac:dyDescent="0.4">
      <c r="B44" s="3"/>
      <c r="C44" s="5"/>
      <c r="D44" s="6"/>
      <c r="E44" s="7"/>
      <c r="F44" s="18">
        <f>C45+C41</f>
        <v>238.43627808995564</v>
      </c>
      <c r="H44" s="26" t="s">
        <v>29</v>
      </c>
      <c r="J44" s="3"/>
      <c r="K44" s="10"/>
      <c r="L44" s="6"/>
      <c r="M44" s="7"/>
      <c r="N44" s="18">
        <f>(K45+K41)/(G43+O43)*O43</f>
        <v>191.30206999196045</v>
      </c>
      <c r="P44" s="26" t="s">
        <v>29</v>
      </c>
      <c r="R44" s="3"/>
      <c r="S44" s="10"/>
      <c r="T44" s="6"/>
      <c r="U44" s="7"/>
      <c r="V44" s="18">
        <f>(S45+S41)/(O43+W43)*W43</f>
        <v>191.70575308997851</v>
      </c>
      <c r="X44" s="26" t="s">
        <v>29</v>
      </c>
      <c r="Z44" s="3"/>
      <c r="AA44" s="10"/>
      <c r="AB44" s="6"/>
      <c r="AC44" s="7"/>
      <c r="AD44" s="18">
        <f>(AA45+AA41)/(W43+AE43)*AE43</f>
        <v>193.23441413329334</v>
      </c>
      <c r="AF44" s="26" t="s">
        <v>29</v>
      </c>
      <c r="AH44" s="3"/>
      <c r="AI44" s="10"/>
      <c r="AJ44" s="4"/>
      <c r="AK44" s="7"/>
    </row>
    <row r="45" spans="2:37" x14ac:dyDescent="0.4">
      <c r="B45" s="3" t="s">
        <v>26</v>
      </c>
      <c r="C45" s="25">
        <f>C46*$AF$5*(1-E45)</f>
        <v>163.43673806273986</v>
      </c>
      <c r="D45" s="4" t="s">
        <v>25</v>
      </c>
      <c r="E45" s="15">
        <f>SUM(E46:E49)</f>
        <v>0.45500000000000002</v>
      </c>
      <c r="G45" t="s">
        <v>18</v>
      </c>
      <c r="H45" s="18"/>
      <c r="J45" s="3" t="s">
        <v>26</v>
      </c>
      <c r="K45" s="25">
        <f>K46*$AF$6*(1-M45)</f>
        <v>244.88072967097921</v>
      </c>
      <c r="L45" s="4" t="s">
        <v>25</v>
      </c>
      <c r="M45" s="15">
        <f>SUM(M46:M49)</f>
        <v>0.5</v>
      </c>
      <c r="N45" s="30"/>
      <c r="O45" t="s">
        <v>18</v>
      </c>
      <c r="P45" s="18"/>
      <c r="R45" s="3" t="s">
        <v>26</v>
      </c>
      <c r="S45" s="25">
        <f>S46*$AF$6*(1-U45)</f>
        <v>244.26545145572544</v>
      </c>
      <c r="T45" s="4" t="s">
        <v>25</v>
      </c>
      <c r="U45" s="15">
        <f>SUM(U46:U49)</f>
        <v>0.5</v>
      </c>
      <c r="V45" s="30"/>
      <c r="W45" t="s">
        <v>18</v>
      </c>
      <c r="X45" s="18"/>
      <c r="Z45" s="3" t="s">
        <v>26</v>
      </c>
      <c r="AA45" s="25">
        <f>AA46*$AF$6*(1-AC45)</f>
        <v>244.88072967097915</v>
      </c>
      <c r="AB45" s="4" t="s">
        <v>25</v>
      </c>
      <c r="AC45" s="15">
        <f>SUM(AC46:AC49)</f>
        <v>0.5</v>
      </c>
      <c r="AD45" s="30"/>
      <c r="AE45" t="s">
        <v>18</v>
      </c>
      <c r="AF45" s="18"/>
      <c r="AH45" s="3" t="s">
        <v>26</v>
      </c>
      <c r="AI45" s="25">
        <f>AI46*$AF$5*(1-AK45)</f>
        <v>163.43673806273986</v>
      </c>
      <c r="AJ45" s="4" t="s">
        <v>25</v>
      </c>
      <c r="AK45" s="15">
        <f>SUM(AK46:AK49)</f>
        <v>0.45500000000000002</v>
      </c>
    </row>
    <row r="46" spans="2:37" x14ac:dyDescent="0.4">
      <c r="B46" s="3" t="s">
        <v>18</v>
      </c>
      <c r="C46" s="13">
        <f>$AE$5/($C49+$K49+$S49+$AA49+$AI49)/2*C49</f>
        <v>79.969046146906365</v>
      </c>
      <c r="D46" s="4" t="s">
        <v>21</v>
      </c>
      <c r="E46" s="23">
        <v>0.45500000000000002</v>
      </c>
      <c r="G46" s="34">
        <f>(F44+H43)/G63</f>
        <v>76.537356777171823</v>
      </c>
      <c r="J46" s="3" t="s">
        <v>18</v>
      </c>
      <c r="K46" s="13">
        <f>$AE$5/($C49+$K49+$S49+$AA49+$AI49)/2*K49</f>
        <v>119.4540144736484</v>
      </c>
      <c r="L46" s="4" t="s">
        <v>21</v>
      </c>
      <c r="M46" s="23">
        <v>0.5</v>
      </c>
      <c r="N46" s="28"/>
      <c r="O46" s="34">
        <f>(N44+P43)/O63</f>
        <v>67.194354926655961</v>
      </c>
      <c r="R46" s="3" t="s">
        <v>18</v>
      </c>
      <c r="S46" s="13">
        <f>$AE$5/($C49+$K49+$S49+$AA49+$AI49)/2*S49</f>
        <v>119.15387875889047</v>
      </c>
      <c r="T46" s="4" t="s">
        <v>21</v>
      </c>
      <c r="U46" s="23">
        <v>0.5</v>
      </c>
      <c r="V46" s="28"/>
      <c r="W46" s="34">
        <f>(V44+X43)/W63</f>
        <v>67.194354926655947</v>
      </c>
      <c r="Z46" s="3" t="s">
        <v>18</v>
      </c>
      <c r="AA46" s="13">
        <f>$AE$5/($C49+$K49+$S49+$AA49+$AI49)/2*AA49</f>
        <v>119.45401447364837</v>
      </c>
      <c r="AB46" s="4" t="s">
        <v>21</v>
      </c>
      <c r="AC46" s="23">
        <v>0.5</v>
      </c>
      <c r="AD46" s="28"/>
      <c r="AE46" s="34">
        <f>(AD44+AF43)/AE63</f>
        <v>76.537356777171809</v>
      </c>
      <c r="AH46" s="3" t="s">
        <v>18</v>
      </c>
      <c r="AI46" s="13">
        <f>$AE$5/($C49+$K49+$S49+$AA49+$AI49)/2*AI49</f>
        <v>79.969046146906365</v>
      </c>
      <c r="AJ46" s="4" t="s">
        <v>21</v>
      </c>
      <c r="AK46" s="23">
        <v>0.45500000000000002</v>
      </c>
    </row>
    <row r="47" spans="2:37" x14ac:dyDescent="0.4">
      <c r="B47" s="3" t="s">
        <v>14</v>
      </c>
      <c r="C47" s="11">
        <f>(G43+G52)/D51/2</f>
        <v>1.0101010101010102</v>
      </c>
      <c r="D47" s="4" t="s">
        <v>22</v>
      </c>
      <c r="E47" s="24">
        <v>0</v>
      </c>
      <c r="J47" s="3" t="s">
        <v>14</v>
      </c>
      <c r="K47" s="11">
        <f>(O43+G43+G52+O52)/2/L51</f>
        <v>2.0101010101010104</v>
      </c>
      <c r="L47" s="4" t="s">
        <v>22</v>
      </c>
      <c r="M47" s="24">
        <v>0</v>
      </c>
      <c r="N47" s="29"/>
      <c r="R47" s="3" t="s">
        <v>14</v>
      </c>
      <c r="S47" s="11">
        <f>(W43+O43+O52+W52)/2/T51</f>
        <v>2</v>
      </c>
      <c r="T47" s="4" t="s">
        <v>22</v>
      </c>
      <c r="U47" s="24">
        <v>0</v>
      </c>
      <c r="V47" s="29"/>
      <c r="Z47" s="3" t="s">
        <v>14</v>
      </c>
      <c r="AA47" s="11">
        <f>(AE43+W43+W52+AE52)/2/AB51</f>
        <v>2.0101010101010099</v>
      </c>
      <c r="AB47" s="4" t="s">
        <v>22</v>
      </c>
      <c r="AC47" s="24">
        <v>0</v>
      </c>
      <c r="AD47" s="29"/>
      <c r="AH47" s="3" t="s">
        <v>14</v>
      </c>
      <c r="AI47" s="11">
        <f>(AE43+AE52)/AJ51/2</f>
        <v>1.0101010101010102</v>
      </c>
      <c r="AJ47" s="4" t="s">
        <v>22</v>
      </c>
      <c r="AK47" s="24">
        <v>0</v>
      </c>
    </row>
    <row r="48" spans="2:37" x14ac:dyDescent="0.4">
      <c r="B48" s="3" t="s">
        <v>16</v>
      </c>
      <c r="C48" s="11">
        <f>C47/(2+C47)</f>
        <v>0.33557046979865773</v>
      </c>
      <c r="D48" s="4" t="s">
        <v>23</v>
      </c>
      <c r="E48" s="24">
        <v>0</v>
      </c>
      <c r="J48" s="3" t="s">
        <v>16</v>
      </c>
      <c r="K48" s="11">
        <f>K47/(2+K47)</f>
        <v>0.50125944584382875</v>
      </c>
      <c r="L48" s="4" t="s">
        <v>23</v>
      </c>
      <c r="M48" s="24">
        <v>0</v>
      </c>
      <c r="N48" s="29"/>
      <c r="R48" s="3" t="s">
        <v>16</v>
      </c>
      <c r="S48" s="11">
        <f>S47/(2+S47)</f>
        <v>0.5</v>
      </c>
      <c r="T48" s="4" t="s">
        <v>23</v>
      </c>
      <c r="U48" s="24">
        <v>0</v>
      </c>
      <c r="V48" s="29"/>
      <c r="Z48" s="3" t="s">
        <v>16</v>
      </c>
      <c r="AA48" s="11">
        <f>AA47/(2+AA47)</f>
        <v>0.50125944584382864</v>
      </c>
      <c r="AB48" s="4" t="s">
        <v>23</v>
      </c>
      <c r="AC48" s="24">
        <v>0</v>
      </c>
      <c r="AD48" s="29"/>
      <c r="AH48" s="3" t="s">
        <v>16</v>
      </c>
      <c r="AI48" s="11">
        <f>AI47/(2+AI47)</f>
        <v>0.33557046979865773</v>
      </c>
      <c r="AJ48" s="4" t="s">
        <v>23</v>
      </c>
      <c r="AK48" s="24">
        <v>0</v>
      </c>
    </row>
    <row r="49" spans="2:37" x14ac:dyDescent="0.4">
      <c r="B49" s="3" t="s">
        <v>17</v>
      </c>
      <c r="C49" s="11">
        <f>C48*D51</f>
        <v>0.33221476510067116</v>
      </c>
      <c r="D49" s="4" t="s">
        <v>24</v>
      </c>
      <c r="E49" s="24">
        <v>0</v>
      </c>
      <c r="J49" s="3" t="s">
        <v>17</v>
      </c>
      <c r="K49" s="11">
        <f>K48*L51</f>
        <v>0.49624685138539049</v>
      </c>
      <c r="L49" s="4" t="s">
        <v>24</v>
      </c>
      <c r="M49" s="24">
        <v>0</v>
      </c>
      <c r="N49" s="29"/>
      <c r="R49" s="3" t="s">
        <v>17</v>
      </c>
      <c r="S49" s="11">
        <f>S48*T51</f>
        <v>0.495</v>
      </c>
      <c r="T49" s="4" t="s">
        <v>24</v>
      </c>
      <c r="U49" s="24">
        <v>0</v>
      </c>
      <c r="V49" s="29"/>
      <c r="Z49" s="3" t="s">
        <v>17</v>
      </c>
      <c r="AA49" s="11">
        <f>AA48*AB51</f>
        <v>0.49624685138539038</v>
      </c>
      <c r="AB49" s="4" t="s">
        <v>24</v>
      </c>
      <c r="AC49" s="24">
        <v>0</v>
      </c>
      <c r="AD49" s="29"/>
      <c r="AH49" s="3" t="s">
        <v>17</v>
      </c>
      <c r="AI49" s="11">
        <f>AI48*AJ51</f>
        <v>0.33221476510067116</v>
      </c>
      <c r="AJ49" s="4" t="s">
        <v>24</v>
      </c>
      <c r="AK49" s="24">
        <v>0</v>
      </c>
    </row>
    <row r="50" spans="2:37" x14ac:dyDescent="0.4">
      <c r="B50" s="3" t="s">
        <v>27</v>
      </c>
      <c r="C50" s="25">
        <f>C46*$AF$5*E45</f>
        <v>136.44718498815899</v>
      </c>
      <c r="D50" s="4" t="s">
        <v>38</v>
      </c>
      <c r="E50" s="16">
        <f>G46+E41</f>
        <v>111.7846874401919</v>
      </c>
      <c r="J50" s="3" t="s">
        <v>27</v>
      </c>
      <c r="K50" s="25">
        <f>K46*$AF$6*M45</f>
        <v>244.88072967097921</v>
      </c>
      <c r="L50" s="4" t="s">
        <v>38</v>
      </c>
      <c r="M50" s="16">
        <f>O46+M41-G46</f>
        <v>-14.562861063771209</v>
      </c>
      <c r="N50" s="29"/>
      <c r="R50" s="3" t="s">
        <v>27</v>
      </c>
      <c r="S50" s="25">
        <f>S46*$AF$6*U45</f>
        <v>244.26545145572544</v>
      </c>
      <c r="T50" s="4" t="s">
        <v>38</v>
      </c>
      <c r="U50" s="16">
        <f>W46+U41-O46</f>
        <v>0</v>
      </c>
      <c r="V50" s="29"/>
      <c r="Z50" s="3" t="s">
        <v>27</v>
      </c>
      <c r="AA50" s="25">
        <f>AA46*$AF$6*AC45</f>
        <v>244.88072967097915</v>
      </c>
      <c r="AB50" s="4" t="s">
        <v>38</v>
      </c>
      <c r="AC50" s="16">
        <f>AE46+AC41-W46</f>
        <v>14.562861063771209</v>
      </c>
      <c r="AD50" s="29"/>
      <c r="AH50" s="3" t="s">
        <v>27</v>
      </c>
      <c r="AI50" s="25">
        <f>AI46*$AF$5*AK45</f>
        <v>136.44718498815899</v>
      </c>
      <c r="AJ50" s="4" t="s">
        <v>38</v>
      </c>
      <c r="AK50" s="16">
        <f>AE46+AK41</f>
        <v>111.78468744019187</v>
      </c>
    </row>
    <row r="51" spans="2:37" x14ac:dyDescent="0.4">
      <c r="C51" s="1"/>
      <c r="D51">
        <f>固定モーメント法!D51</f>
        <v>0.99</v>
      </c>
      <c r="K51" s="1"/>
      <c r="L51">
        <f>固定モーメント法!L51</f>
        <v>0.99</v>
      </c>
      <c r="S51" s="1"/>
      <c r="T51">
        <f>固定モーメント法!T51</f>
        <v>0.99</v>
      </c>
      <c r="AA51" s="1"/>
      <c r="AB51">
        <f>固定モーメント法!AB51</f>
        <v>0.99</v>
      </c>
      <c r="AI51" s="1"/>
      <c r="AJ51">
        <f>固定モーメント法!AJ51</f>
        <v>0.99</v>
      </c>
    </row>
    <row r="52" spans="2:37" ht="19.5" thickBot="1" x14ac:dyDescent="0.45">
      <c r="C52" s="1"/>
      <c r="D52" s="8"/>
      <c r="E52" s="2"/>
      <c r="F52" s="2" t="s">
        <v>28</v>
      </c>
      <c r="G52" s="2">
        <f>固定モーメント法!G52</f>
        <v>1</v>
      </c>
      <c r="H52" s="18">
        <f>(K54+K50)/(G52+O52)*G52</f>
        <v>228.54914806320977</v>
      </c>
      <c r="I52" s="2"/>
      <c r="J52" s="2"/>
      <c r="K52" s="9"/>
      <c r="L52" s="8"/>
      <c r="M52" s="2"/>
      <c r="N52" s="2" t="s">
        <v>28</v>
      </c>
      <c r="O52" s="2">
        <f>固定モーメント法!O52</f>
        <v>0.99</v>
      </c>
      <c r="P52" s="18">
        <f>(S54+S50)/(O52+W52)*O52</f>
        <v>227.02051520283305</v>
      </c>
      <c r="Q52" s="2"/>
      <c r="R52" s="2"/>
      <c r="S52" s="9"/>
      <c r="T52" s="8"/>
      <c r="U52" s="2"/>
      <c r="V52" s="2" t="s">
        <v>28</v>
      </c>
      <c r="W52" s="2">
        <f>固定モーメント法!W52</f>
        <v>0.99</v>
      </c>
      <c r="X52" s="18">
        <f>(AA54+AA50)/(W52+AE52)*W52</f>
        <v>226.26365658257765</v>
      </c>
      <c r="Y52" s="2"/>
      <c r="Z52" s="2"/>
      <c r="AA52" s="9"/>
      <c r="AB52" s="8"/>
      <c r="AC52" s="2"/>
      <c r="AD52" s="2" t="s">
        <v>28</v>
      </c>
      <c r="AE52" s="2">
        <f>固定モーメント法!AE52</f>
        <v>1</v>
      </c>
      <c r="AF52" s="18">
        <f>(AI54+AI50)/(AE52+AM52)*AE52</f>
        <v>321.75280789392571</v>
      </c>
      <c r="AG52" s="2"/>
      <c r="AH52" s="2"/>
      <c r="AI52" s="9"/>
      <c r="AK52" s="20"/>
    </row>
    <row r="53" spans="2:37" x14ac:dyDescent="0.4">
      <c r="B53" s="3"/>
      <c r="C53" s="5"/>
      <c r="D53" s="6"/>
      <c r="E53" s="7"/>
      <c r="F53" s="18">
        <f>C54+C50</f>
        <v>321.75280789392571</v>
      </c>
      <c r="H53" s="26" t="s">
        <v>29</v>
      </c>
      <c r="J53" s="3"/>
      <c r="K53" s="5"/>
      <c r="L53" s="6"/>
      <c r="M53" s="7"/>
      <c r="N53" s="18">
        <f>(K54+K50)/(G52+O52)*O52</f>
        <v>226.26365658257768</v>
      </c>
      <c r="P53" s="26" t="s">
        <v>29</v>
      </c>
      <c r="R53" s="3"/>
      <c r="S53" s="10"/>
      <c r="T53" s="6"/>
      <c r="U53" s="7"/>
      <c r="V53" s="18">
        <f>(S54+S50)/(O52+W52)*W52</f>
        <v>227.02051520283305</v>
      </c>
      <c r="X53" s="26" t="s">
        <v>29</v>
      </c>
      <c r="Z53" s="3"/>
      <c r="AA53" s="10"/>
      <c r="AB53" s="6"/>
      <c r="AC53" s="7"/>
      <c r="AD53" s="18">
        <f>(AA54+AA50)/(W52+AE52)*AE52</f>
        <v>228.54914806320974</v>
      </c>
      <c r="AF53" s="26" t="s">
        <v>29</v>
      </c>
      <c r="AH53" s="3"/>
      <c r="AI53" s="10"/>
      <c r="AJ53" s="4"/>
      <c r="AK53" s="7"/>
    </row>
    <row r="54" spans="2:37" x14ac:dyDescent="0.4">
      <c r="B54" s="3" t="s">
        <v>26</v>
      </c>
      <c r="C54" s="25">
        <f>C55*$AF$6*(1-E54)</f>
        <v>185.30562290576668</v>
      </c>
      <c r="D54" s="4" t="s">
        <v>25</v>
      </c>
      <c r="E54" s="15">
        <f>SUM(E55:E58)</f>
        <v>0.56100000000000005</v>
      </c>
      <c r="G54" t="s">
        <v>18</v>
      </c>
      <c r="H54" s="18"/>
      <c r="J54" s="3" t="s">
        <v>26</v>
      </c>
      <c r="K54" s="25">
        <f>K55*$AF$6*(1-M54)</f>
        <v>209.93207497480822</v>
      </c>
      <c r="L54" s="4" t="s">
        <v>25</v>
      </c>
      <c r="M54" s="15">
        <f>SUM(M55:M58)</f>
        <v>0.64500000000000002</v>
      </c>
      <c r="N54" s="30"/>
      <c r="O54" t="s">
        <v>18</v>
      </c>
      <c r="P54" s="18"/>
      <c r="R54" s="3" t="s">
        <v>26</v>
      </c>
      <c r="S54" s="25">
        <f>S55*$AF$6*(1-U54)</f>
        <v>209.77557894994067</v>
      </c>
      <c r="T54" s="4" t="s">
        <v>25</v>
      </c>
      <c r="U54" s="15">
        <f>SUM(U55:U58)</f>
        <v>0.64500000000000002</v>
      </c>
      <c r="V54" s="30"/>
      <c r="W54" t="s">
        <v>18</v>
      </c>
      <c r="X54" s="18"/>
      <c r="Z54" s="3" t="s">
        <v>26</v>
      </c>
      <c r="AA54" s="25">
        <f>AA55*$AF$6*(1-AC54)</f>
        <v>209.93207497480822</v>
      </c>
      <c r="AB54" s="4" t="s">
        <v>25</v>
      </c>
      <c r="AC54" s="15">
        <f>SUM(AC55:AC58)</f>
        <v>0.64500000000000002</v>
      </c>
      <c r="AD54" s="30"/>
      <c r="AE54" t="s">
        <v>18</v>
      </c>
      <c r="AF54" s="18"/>
      <c r="AH54" s="3" t="s">
        <v>26</v>
      </c>
      <c r="AI54" s="25">
        <f>AI55*$AF$6*(1-AK54)</f>
        <v>185.30562290576668</v>
      </c>
      <c r="AJ54" s="4" t="s">
        <v>25</v>
      </c>
      <c r="AK54" s="15">
        <f>SUM(AK55:AK58)</f>
        <v>0.56100000000000005</v>
      </c>
    </row>
    <row r="55" spans="2:37" x14ac:dyDescent="0.4">
      <c r="B55" s="3" t="s">
        <v>18</v>
      </c>
      <c r="C55" s="13">
        <f>$AE$6/($C58+$K58+$S58+$AA58+$AI58)/2*C58</f>
        <v>102.95328790808752</v>
      </c>
      <c r="D55" s="4" t="s">
        <v>21</v>
      </c>
      <c r="E55" s="23">
        <v>0.56100000000000005</v>
      </c>
      <c r="G55" s="34">
        <f>(F53+H52)/G63</f>
        <v>97.571268786726165</v>
      </c>
      <c r="J55" s="3" t="s">
        <v>18</v>
      </c>
      <c r="K55" s="13">
        <f>$AE$6/($C58+$K58+$S58+$AA58+$AI58)/2*K58</f>
        <v>144.23364821354053</v>
      </c>
      <c r="L55" s="4" t="s">
        <v>21</v>
      </c>
      <c r="M55" s="23">
        <v>0.64500000000000002</v>
      </c>
      <c r="N55" s="28"/>
      <c r="O55" s="34">
        <f>(N53+P52)/O63</f>
        <v>79.523538909721182</v>
      </c>
      <c r="R55" s="3" t="s">
        <v>18</v>
      </c>
      <c r="S55" s="13">
        <f>$AE$6/($C58+$K58+$S58+$AA58+$AI58)/2*S58</f>
        <v>144.12612775674387</v>
      </c>
      <c r="T55" s="4" t="s">
        <v>21</v>
      </c>
      <c r="U55" s="23">
        <v>0.64500000000000002</v>
      </c>
      <c r="V55" s="28"/>
      <c r="W55" s="34">
        <f>(V53+X52)/W63</f>
        <v>79.523538909721168</v>
      </c>
      <c r="Z55" s="3" t="s">
        <v>18</v>
      </c>
      <c r="AA55" s="13">
        <f>$AE$6/($C58+$K58+$S58+$AA58+$AI58)/2*AA58</f>
        <v>144.23364821354053</v>
      </c>
      <c r="AB55" s="4" t="s">
        <v>21</v>
      </c>
      <c r="AC55" s="23">
        <v>0.64500000000000002</v>
      </c>
      <c r="AD55" s="28"/>
      <c r="AE55" s="34">
        <f>(AD53+AF52)/AE63</f>
        <v>97.571268786726151</v>
      </c>
      <c r="AH55" s="3" t="s">
        <v>18</v>
      </c>
      <c r="AI55" s="13">
        <f>$AE$6/($C58+$K58+$S58+$AA58+$AI58)/2*AI58</f>
        <v>102.95328790808752</v>
      </c>
      <c r="AJ55" s="4" t="s">
        <v>21</v>
      </c>
      <c r="AK55" s="23">
        <v>0.56100000000000005</v>
      </c>
    </row>
    <row r="56" spans="2:37" x14ac:dyDescent="0.4">
      <c r="B56" s="3" t="s">
        <v>14</v>
      </c>
      <c r="C56" s="11">
        <f>(G52+G61)/2/D60</f>
        <v>1.4875368533905118</v>
      </c>
      <c r="D56" s="4" t="s">
        <v>22</v>
      </c>
      <c r="E56" s="24">
        <v>0</v>
      </c>
      <c r="J56" s="3" t="s">
        <v>14</v>
      </c>
      <c r="K56" s="11">
        <f>(O52+G52+G61+O61)/2/L60</f>
        <v>2.9695792012865181</v>
      </c>
      <c r="L56" s="4" t="s">
        <v>22</v>
      </c>
      <c r="M56" s="24">
        <v>0</v>
      </c>
      <c r="N56" s="29"/>
      <c r="R56" s="3" t="s">
        <v>14</v>
      </c>
      <c r="S56" s="11">
        <f>(W52+O52+O61+W61)/2/T60</f>
        <v>2.9640846957920126</v>
      </c>
      <c r="T56" s="4" t="s">
        <v>22</v>
      </c>
      <c r="U56" s="24">
        <v>0</v>
      </c>
      <c r="V56" s="29"/>
      <c r="Z56" s="3" t="s">
        <v>14</v>
      </c>
      <c r="AA56" s="11">
        <f>(AE52+W52+W61+AE61)/2/AB60</f>
        <v>2.9695792012865181</v>
      </c>
      <c r="AB56" s="4" t="s">
        <v>22</v>
      </c>
      <c r="AC56" s="24">
        <v>0</v>
      </c>
      <c r="AD56" s="29"/>
      <c r="AH56" s="3" t="s">
        <v>13</v>
      </c>
      <c r="AI56" s="11">
        <f>(AE52+AE61)/2/AJ60</f>
        <v>1.4875368533905118</v>
      </c>
      <c r="AJ56" s="4" t="s">
        <v>22</v>
      </c>
      <c r="AK56" s="24">
        <v>0</v>
      </c>
    </row>
    <row r="57" spans="2:37" x14ac:dyDescent="0.4">
      <c r="B57" s="3" t="s">
        <v>16</v>
      </c>
      <c r="C57" s="11">
        <f>C56/(2+C56)</f>
        <v>0.42652935751613896</v>
      </c>
      <c r="D57" s="4" t="s">
        <v>23</v>
      </c>
      <c r="E57" s="24">
        <v>0</v>
      </c>
      <c r="J57" s="3" t="s">
        <v>16</v>
      </c>
      <c r="K57" s="11">
        <f>K56/(2+K56)</f>
        <v>0.59755143866461724</v>
      </c>
      <c r="L57" s="4" t="s">
        <v>23</v>
      </c>
      <c r="M57" s="24">
        <v>0</v>
      </c>
      <c r="N57" s="29"/>
      <c r="R57" s="3" t="s">
        <v>16</v>
      </c>
      <c r="S57" s="11">
        <f>S56/(2+S56)</f>
        <v>0.59710598779763513</v>
      </c>
      <c r="T57" s="4" t="s">
        <v>23</v>
      </c>
      <c r="U57" s="24">
        <v>0</v>
      </c>
      <c r="V57" s="29"/>
      <c r="Z57" s="3" t="s">
        <v>16</v>
      </c>
      <c r="AA57" s="11">
        <f>AA56/(2+AA56)</f>
        <v>0.59755143866461724</v>
      </c>
      <c r="AB57" s="4" t="s">
        <v>23</v>
      </c>
      <c r="AC57" s="24">
        <v>0</v>
      </c>
      <c r="AD57" s="29"/>
      <c r="AH57" s="3" t="s">
        <v>16</v>
      </c>
      <c r="AI57" s="11">
        <f>AI56/(2+AI56)</f>
        <v>0.42652935751613896</v>
      </c>
      <c r="AJ57" s="4" t="s">
        <v>23</v>
      </c>
      <c r="AK57" s="24">
        <v>0</v>
      </c>
    </row>
    <row r="58" spans="2:37" x14ac:dyDescent="0.4">
      <c r="B58" s="3" t="s">
        <v>17</v>
      </c>
      <c r="C58" s="11">
        <f>C57*D60</f>
        <v>0.38814171533968644</v>
      </c>
      <c r="D58" s="4" t="s">
        <v>24</v>
      </c>
      <c r="E58" s="24">
        <v>0</v>
      </c>
      <c r="J58" s="3" t="s">
        <v>17</v>
      </c>
      <c r="K58" s="11">
        <f>K57*L60</f>
        <v>0.54377180918480172</v>
      </c>
      <c r="L58" s="4" t="s">
        <v>24</v>
      </c>
      <c r="M58" s="24">
        <v>0</v>
      </c>
      <c r="N58" s="29"/>
      <c r="R58" s="3" t="s">
        <v>17</v>
      </c>
      <c r="S58" s="11">
        <f>S57*T60</f>
        <v>0.54336644889584795</v>
      </c>
      <c r="T58" s="4" t="s">
        <v>24</v>
      </c>
      <c r="U58" s="24">
        <v>0</v>
      </c>
      <c r="V58" s="29"/>
      <c r="Z58" s="3" t="s">
        <v>17</v>
      </c>
      <c r="AA58" s="11">
        <f>AA57*AB60</f>
        <v>0.54377180918480172</v>
      </c>
      <c r="AB58" s="4" t="s">
        <v>24</v>
      </c>
      <c r="AC58" s="24">
        <v>0</v>
      </c>
      <c r="AD58" s="29"/>
      <c r="AH58" s="3" t="s">
        <v>17</v>
      </c>
      <c r="AI58" s="11">
        <f>AI57*AJ60</f>
        <v>0.38814171533968644</v>
      </c>
      <c r="AJ58" s="4" t="s">
        <v>24</v>
      </c>
      <c r="AK58" s="24">
        <v>0</v>
      </c>
    </row>
    <row r="59" spans="2:37" x14ac:dyDescent="0.4">
      <c r="B59" s="3" t="s">
        <v>27</v>
      </c>
      <c r="C59" s="25">
        <f>C55*$AF$6*E54</f>
        <v>236.80285751739208</v>
      </c>
      <c r="D59" s="4" t="s">
        <v>38</v>
      </c>
      <c r="E59" s="16">
        <f>G55+E50</f>
        <v>209.35595622691807</v>
      </c>
      <c r="J59" s="3" t="s">
        <v>27</v>
      </c>
      <c r="K59" s="25">
        <f>K55*$AF$6*M54</f>
        <v>381.42588270070792</v>
      </c>
      <c r="L59" s="4" t="s">
        <v>38</v>
      </c>
      <c r="M59" s="16">
        <f>O55+M50-G55</f>
        <v>-32.610590940776191</v>
      </c>
      <c r="N59" s="29"/>
      <c r="R59" s="3" t="s">
        <v>27</v>
      </c>
      <c r="S59" s="25">
        <f>S55*$AF$6*U54</f>
        <v>381.14154485270916</v>
      </c>
      <c r="T59" s="4" t="s">
        <v>38</v>
      </c>
      <c r="U59" s="16">
        <f>W55+U50-O55</f>
        <v>0</v>
      </c>
      <c r="V59" s="29"/>
      <c r="Z59" s="3" t="s">
        <v>27</v>
      </c>
      <c r="AA59" s="25">
        <f>AA55*$AF$6*AC54</f>
        <v>381.42588270070792</v>
      </c>
      <c r="AB59" s="4" t="s">
        <v>38</v>
      </c>
      <c r="AC59" s="16">
        <f>AE55+AC50-W55</f>
        <v>32.610590940776191</v>
      </c>
      <c r="AD59" s="29"/>
      <c r="AH59" s="3" t="s">
        <v>27</v>
      </c>
      <c r="AI59" s="25">
        <f>AI55*$AF$6*AK54</f>
        <v>236.80285751739208</v>
      </c>
      <c r="AJ59" s="4" t="s">
        <v>38</v>
      </c>
      <c r="AK59" s="16">
        <f>AE55+AK50</f>
        <v>209.35595622691801</v>
      </c>
    </row>
    <row r="60" spans="2:37" x14ac:dyDescent="0.4">
      <c r="C60" s="1"/>
      <c r="D60">
        <f>固定モーメント法!D60</f>
        <v>0.91</v>
      </c>
      <c r="G60" s="44">
        <f>G52/G61</f>
        <v>0.58571428571428574</v>
      </c>
      <c r="H60" s="40">
        <f>(G52+O52)/(G61+O61)</f>
        <v>0.58278571428571435</v>
      </c>
      <c r="K60" s="1"/>
      <c r="L60">
        <f>固定モーメント法!L60</f>
        <v>0.91</v>
      </c>
      <c r="O60" s="44">
        <f>(O52+W52)/(O61+W61)</f>
        <v>0.57985714285714285</v>
      </c>
      <c r="S60" s="1"/>
      <c r="T60">
        <f>固定モーメント法!T60</f>
        <v>0.91</v>
      </c>
      <c r="W60" s="40">
        <f>(W52+AE52)/(W61+AE61)</f>
        <v>0.58278571428571435</v>
      </c>
      <c r="X60" s="40"/>
      <c r="AA60" s="1"/>
      <c r="AB60">
        <f>固定モーメント法!AB60</f>
        <v>0.91</v>
      </c>
      <c r="AE60" s="40">
        <f>AE52/AE61</f>
        <v>0.58571428571428574</v>
      </c>
      <c r="AI60" s="1"/>
      <c r="AJ60">
        <f>固定モーメント法!AJ60</f>
        <v>0.91</v>
      </c>
    </row>
    <row r="61" spans="2:37" x14ac:dyDescent="0.4">
      <c r="C61" s="1"/>
      <c r="G61" s="40">
        <f>基礎梁成と変形関係!E6/10^5</f>
        <v>1.7073170731707317</v>
      </c>
      <c r="K61" s="1"/>
      <c r="O61" s="40">
        <f>基礎梁成と変形関係!E6/10^5</f>
        <v>1.7073170731707317</v>
      </c>
      <c r="S61" s="1"/>
      <c r="W61" s="40">
        <f>基礎梁成と変形関係!E6/10^5</f>
        <v>1.7073170731707317</v>
      </c>
      <c r="AA61" s="1"/>
      <c r="AE61" s="40">
        <f>基礎梁成と変形関係!E6/10^5</f>
        <v>1.7073170731707317</v>
      </c>
      <c r="AI61" s="1"/>
    </row>
    <row r="62" spans="2:37" x14ac:dyDescent="0.4">
      <c r="D62" s="18"/>
      <c r="L62" s="18"/>
      <c r="T62" s="18"/>
      <c r="AB62" s="18"/>
      <c r="AJ62" s="18"/>
    </row>
    <row r="63" spans="2:37" x14ac:dyDescent="0.4">
      <c r="F63" t="s">
        <v>37</v>
      </c>
      <c r="G63">
        <v>5.64</v>
      </c>
      <c r="N63" t="s">
        <v>37</v>
      </c>
      <c r="O63">
        <v>5.7</v>
      </c>
      <c r="V63" t="s">
        <v>37</v>
      </c>
      <c r="W63">
        <v>5.7</v>
      </c>
      <c r="AD63" t="s">
        <v>37</v>
      </c>
      <c r="AE63">
        <v>5.64</v>
      </c>
    </row>
  </sheetData>
  <mergeCells count="2">
    <mergeCell ref="AG2:AH2"/>
    <mergeCell ref="AI2:AJ2"/>
  </mergeCells>
  <phoneticPr fontId="1"/>
  <pageMargins left="0.7" right="0.7" top="0.75" bottom="0.75" header="0.3" footer="0.3"/>
  <pageSetup paperSize="9" scale="24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6</vt:i4>
      </vt:variant>
      <vt:variant>
        <vt:lpstr>名前付き一覧</vt:lpstr>
      </vt:variant>
      <vt:variant>
        <vt:i4>2</vt:i4>
      </vt:variant>
    </vt:vector>
  </HeadingPairs>
  <TitlesOfParts>
    <vt:vector size="8" baseType="lpstr">
      <vt:lpstr>基礎梁成と変形関係</vt:lpstr>
      <vt:lpstr>応力まとめ</vt:lpstr>
      <vt:lpstr>D値 (柱最低剛性算出)</vt:lpstr>
      <vt:lpstr>D値</vt:lpstr>
      <vt:lpstr>固定モーメント法</vt:lpstr>
      <vt:lpstr>D値 (変形確認用)</vt:lpstr>
      <vt:lpstr>D値!Print_Area</vt:lpstr>
      <vt:lpstr>'D値 (柱最低剛性算出)'!Print_Area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近藤　一真</dc:creator>
  <cp:lastModifiedBy>藤下 和浩</cp:lastModifiedBy>
  <cp:lastPrinted>2023-08-28T08:11:19Z</cp:lastPrinted>
  <dcterms:created xsi:type="dcterms:W3CDTF">2023-06-27T06:07:37Z</dcterms:created>
  <dcterms:modified xsi:type="dcterms:W3CDTF">2023-11-02T08:13:27Z</dcterms:modified>
</cp:coreProperties>
</file>